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255" windowWidth="11100" windowHeight="5835" activeTab="0"/>
  </bookViews>
  <sheets>
    <sheet name="Сценарий" sheetId="1" r:id="rId1"/>
    <sheet name="Прогноз" sheetId="2" r:id="rId2"/>
    <sheet name="Рисунки" sheetId="3" r:id="rId3"/>
    <sheet name="Calculate" sheetId="4" state="hidden" r:id="rId4"/>
    <sheet name="Table" sheetId="5" state="hidden" r:id="rId5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Andreev</author>
  </authors>
  <commentList>
    <comment ref="A2" authorId="0">
      <text>
        <r>
          <rPr>
            <b/>
            <sz val="9"/>
            <rFont val="Tahoma"/>
            <family val="2"/>
          </rPr>
          <t>Коэффициент суммарной рождаемости</t>
        </r>
        <r>
          <rPr>
            <sz val="9"/>
            <rFont val="Tahoma"/>
            <family val="2"/>
          </rPr>
          <t xml:space="preserve"> Это – среднее число детей, рождаемых женщиной за всю ее жизнь.  Наша программа допускает, что оно лежит </t>
        </r>
        <r>
          <rPr>
            <sz val="9"/>
            <color indexed="10"/>
            <rFont val="Tahoma"/>
            <family val="2"/>
          </rPr>
          <t>в границах от 0,1 до 8 рождений</t>
        </r>
      </text>
    </comment>
    <comment ref="A3" authorId="0">
      <text>
        <r>
          <rPr>
            <b/>
            <sz val="8"/>
            <rFont val="Tahoma"/>
            <family val="2"/>
          </rPr>
          <t>Средний возраст матери при рождении ребенка</t>
        </r>
        <r>
          <rPr>
            <sz val="8"/>
            <rFont val="Tahoma"/>
            <family val="2"/>
          </rPr>
          <t>. Это - средний возраст матери с учетом рождения всех детей. Сейчас в России он постепенно повышается. В современной Европе колеблется от 24 до 33 лет. Программа допускает, что он находится</t>
        </r>
        <r>
          <rPr>
            <sz val="8"/>
            <color indexed="10"/>
            <rFont val="Tahoma"/>
            <family val="2"/>
          </rPr>
          <t xml:space="preserve"> в границах от 20 до 35 лет</t>
        </r>
      </text>
    </comment>
    <comment ref="A4" authorId="0">
      <text>
        <r>
          <rPr>
            <b/>
            <sz val="9"/>
            <rFont val="Tahoma"/>
            <family val="2"/>
          </rPr>
          <t xml:space="preserve">Ожидаемая продолжительность жизни мужчин. </t>
        </r>
        <r>
          <rPr>
            <sz val="9"/>
            <rFont val="Tahoma"/>
            <family val="2"/>
          </rPr>
          <t>Программа допускает, что она лежит</t>
        </r>
        <r>
          <rPr>
            <sz val="9"/>
            <color indexed="10"/>
            <rFont val="Tahoma"/>
            <family val="2"/>
          </rPr>
          <t xml:space="preserve"> в границах от 20 до 80 лет</t>
        </r>
      </text>
    </comment>
    <comment ref="A5" authorId="0">
      <text>
        <r>
          <rPr>
            <b/>
            <sz val="9"/>
            <rFont val="Tahoma"/>
            <family val="2"/>
          </rPr>
          <t>Ожидаемая продолжительность жизни женщин.</t>
        </r>
        <r>
          <rPr>
            <sz val="9"/>
            <rFont val="Tahoma"/>
            <family val="2"/>
          </rPr>
          <t xml:space="preserve"> Программа допускает, что она лежит </t>
        </r>
        <r>
          <rPr>
            <sz val="9"/>
            <color indexed="10"/>
            <rFont val="Tahoma"/>
            <family val="2"/>
          </rPr>
          <t>в границах от 20 до 90 лет</t>
        </r>
        <r>
          <rPr>
            <sz val="9"/>
            <rFont val="Tahoma"/>
            <family val="2"/>
          </rPr>
          <t xml:space="preserve">
 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9"/>
            <rFont val="Tahoma"/>
            <family val="2"/>
          </rPr>
          <t xml:space="preserve">Коэффициент младенческой смертности.
</t>
        </r>
        <r>
          <rPr>
            <sz val="9"/>
            <rFont val="Tahoma"/>
            <family val="2"/>
          </rPr>
          <t>Это - число детей умерших в возрасте до  1 года из 1000 родившихся. Программа допускает, что он находится</t>
        </r>
        <r>
          <rPr>
            <sz val="9"/>
            <color indexed="10"/>
            <rFont val="Tahoma"/>
            <family val="2"/>
          </rPr>
          <t xml:space="preserve"> в границах от 1 до 200  на 1000</t>
        </r>
      </text>
    </comment>
    <comment ref="A7" authorId="0">
      <text>
        <r>
          <rPr>
            <b/>
            <sz val="9"/>
            <rFont val="Tahoma"/>
            <family val="2"/>
          </rPr>
          <t xml:space="preserve">Ежегодное число прибывших (иммигрантов) в Россию. </t>
        </r>
        <r>
          <rPr>
            <sz val="9"/>
            <rFont val="Tahoma"/>
            <family val="2"/>
          </rPr>
          <t xml:space="preserve">Программа допускает, что оно </t>
        </r>
        <r>
          <rPr>
            <sz val="9"/>
            <color indexed="10"/>
            <rFont val="Tahoma"/>
            <family val="2"/>
          </rPr>
          <t>не может быть больше 2000 тысяч (2 миллионов) человек</t>
        </r>
        <r>
          <rPr>
            <sz val="9"/>
            <rFont val="Tahoma"/>
            <family val="2"/>
          </rPr>
          <t>.</t>
        </r>
      </text>
    </comment>
    <comment ref="A8" authorId="0">
      <text>
        <r>
          <rPr>
            <b/>
            <sz val="9"/>
            <rFont val="Tahoma"/>
            <family val="2"/>
          </rPr>
          <t xml:space="preserve">Коэффициент выбытия (эмиграции) из России.
</t>
        </r>
        <r>
          <rPr>
            <sz val="9"/>
            <rFont val="Tahoma"/>
            <family val="2"/>
          </rPr>
          <t xml:space="preserve">Это – число ежегодно уезжающих из России в расчете на 1000 человек ее постоянного населения. Программа допускает, что оно </t>
        </r>
        <r>
          <rPr>
            <sz val="9"/>
            <color indexed="10"/>
            <rFont val="Tahoma"/>
            <family val="2"/>
          </rPr>
          <t>не может быть больше 100 на 1000</t>
        </r>
      </text>
    </comment>
  </commentList>
</comments>
</file>

<file path=xl/comments2.xml><?xml version="1.0" encoding="utf-8"?>
<comments xmlns="http://schemas.openxmlformats.org/spreadsheetml/2006/main">
  <authors>
    <author>Andreev</author>
  </authors>
  <commentList>
    <comment ref="B66" authorId="0">
      <text>
        <r>
          <rPr>
            <b/>
            <sz val="8"/>
            <rFont val="Tahoma"/>
            <family val="0"/>
          </rPr>
          <t>без данных по Чеченской республике</t>
        </r>
      </text>
    </comment>
  </commentList>
</comments>
</file>

<file path=xl/sharedStrings.xml><?xml version="1.0" encoding="utf-8"?>
<sst xmlns="http://schemas.openxmlformats.org/spreadsheetml/2006/main" count="951" uniqueCount="164">
  <si>
    <t>Сценарий</t>
  </si>
  <si>
    <t>B</t>
  </si>
  <si>
    <t>BJ</t>
  </si>
  <si>
    <t>TFR</t>
  </si>
  <si>
    <t>H</t>
  </si>
  <si>
    <t>Ma</t>
  </si>
  <si>
    <t>N</t>
  </si>
  <si>
    <t>e(0)</t>
  </si>
  <si>
    <t xml:space="preserve">    ChartName = InputBox("Chart Name?", , "Chart1")</t>
  </si>
  <si>
    <t>T</t>
  </si>
  <si>
    <t>Z</t>
  </si>
  <si>
    <t>q(0)</t>
  </si>
  <si>
    <t>AF</t>
  </si>
  <si>
    <t>Calculate!</t>
  </si>
  <si>
    <t>AL</t>
  </si>
  <si>
    <t>AR</t>
  </si>
  <si>
    <t>Новорожденные</t>
  </si>
  <si>
    <t>Infl-e(0)=</t>
  </si>
  <si>
    <t>Infl-q(0)=</t>
  </si>
  <si>
    <t>First component</t>
  </si>
  <si>
    <t>AX</t>
  </si>
  <si>
    <t>0-4</t>
  </si>
  <si>
    <t>Mx</t>
  </si>
  <si>
    <t>q(x)</t>
  </si>
  <si>
    <t>l(x)</t>
  </si>
  <si>
    <t>d(x)</t>
  </si>
  <si>
    <t>L(x)</t>
  </si>
  <si>
    <t>T(x)</t>
  </si>
  <si>
    <t>e(x)</t>
  </si>
  <si>
    <t>P(x)</t>
  </si>
  <si>
    <t>Male</t>
  </si>
  <si>
    <t>Female</t>
  </si>
  <si>
    <t>BD</t>
  </si>
  <si>
    <t>5-9</t>
  </si>
  <si>
    <t>Logit(q(x))</t>
  </si>
  <si>
    <t>Logit(q(x)) Smooth</t>
  </si>
  <si>
    <t>q(x) Smooth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</si>
  <si>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</si>
  <si>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</si>
  <si>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</si>
  <si>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</si>
  <si>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</si>
  <si>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</si>
  <si>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</si>
  <si>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</si>
  <si>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</si>
  <si>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</si>
  <si>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</si>
  <si>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</si>
  <si>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</si>
  <si>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</si>
  <si>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</si>
  <si>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MA</t>
  </si>
  <si>
    <t>a</t>
  </si>
  <si>
    <t>aa</t>
  </si>
  <si>
    <t>SexRatio</t>
  </si>
  <si>
    <t>Коэффициенты Выбытия</t>
  </si>
  <si>
    <t>Мужчины</t>
  </si>
  <si>
    <t>MigrInNum</t>
  </si>
  <si>
    <t>MigrOutRat</t>
  </si>
  <si>
    <t>Коэффициент суммарной рождаемости</t>
  </si>
  <si>
    <t>Средний возраст матери при рождении ребенка</t>
  </si>
  <si>
    <t>Ожидаемая продолжительность жизни при рождении, мужчины</t>
  </si>
  <si>
    <t>Ожидаемая продолжительность жизни при рождении, женщины</t>
  </si>
  <si>
    <t>Коэфициент младенческой смертности (на 1000)</t>
  </si>
  <si>
    <t>80-84</t>
  </si>
  <si>
    <t>85+</t>
  </si>
  <si>
    <t>Женщины</t>
  </si>
  <si>
    <t>Структура прибывших</t>
  </si>
  <si>
    <t>Corr</t>
  </si>
  <si>
    <t>Crit</t>
  </si>
  <si>
    <t xml:space="preserve">                                                             Предполагается, что</t>
  </si>
  <si>
    <t>2001-2005</t>
  </si>
  <si>
    <t>2006-2010</t>
  </si>
  <si>
    <t>2011-2015</t>
  </si>
  <si>
    <t>2016-2020</t>
  </si>
  <si>
    <t>2021-2025</t>
  </si>
  <si>
    <t>2026-2030</t>
  </si>
  <si>
    <t>2031-2035</t>
  </si>
  <si>
    <t>2036-2040</t>
  </si>
  <si>
    <t>2041-2045</t>
  </si>
  <si>
    <t>2046-2050</t>
  </si>
  <si>
    <t>Коэффициент суммарной рождаемости больше 0,1, но меньше 8 рождений на 1 женщину</t>
  </si>
  <si>
    <t>Средний возраст матери при рождении ребенка от 20 до 35 лет</t>
  </si>
  <si>
    <t>Ожидаемая продолжительность жизни мужчин от 20 до 80 лет, а женщин от 20 до 90 лет</t>
  </si>
  <si>
    <t/>
  </si>
  <si>
    <t>Коэффициент младенческой смертности возможен от 1 до 200 на 1000 новорожденных</t>
  </si>
  <si>
    <t>Число прибывших в Россию в среднем за 1 год не более 2 млн.</t>
  </si>
  <si>
    <t>Среднегодовое число выбывших из России не более 100 на 1000 населения</t>
  </si>
  <si>
    <t>Все сценарные переменные - положительны. Отрицательные значения недопустимы.</t>
  </si>
  <si>
    <t>Сценарные переменные должны быть определены на весь период. Можно воспользоваться процедурой "Заполнить пропуски в сценарии".</t>
  </si>
  <si>
    <t>Заполнение</t>
  </si>
  <si>
    <t>Счет</t>
  </si>
  <si>
    <t>Сценарий для прогноза населения России</t>
  </si>
  <si>
    <t>1996-2000</t>
  </si>
  <si>
    <t>Число прибывших в Россию в среднем за 1 год (тысяч)</t>
  </si>
  <si>
    <t>Среднегодовой коэффициент эмиграции из России (на тысячу)</t>
  </si>
  <si>
    <t>Новый вариант</t>
  </si>
  <si>
    <t>Всего</t>
  </si>
  <si>
    <t>Предыдущий  вариант</t>
  </si>
  <si>
    <t xml:space="preserve">  0-4</t>
  </si>
  <si>
    <t xml:space="preserve"> 0-4</t>
  </si>
  <si>
    <t xml:space="preserve">  5-9</t>
  </si>
  <si>
    <t xml:space="preserve"> 5-9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</si>
  <si>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</si>
  <si>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</si>
  <si>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</si>
  <si>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</si>
  <si>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</si>
  <si>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</si>
  <si>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</si>
  <si>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</si>
  <si>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</si>
  <si>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</si>
  <si>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</si>
  <si>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</si>
  <si>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Население (млн.)</t>
  </si>
  <si>
    <t>Родилось (тысяч)</t>
  </si>
  <si>
    <t>1996-00</t>
  </si>
  <si>
    <t>2001-05</t>
  </si>
  <si>
    <t>2006-10</t>
  </si>
  <si>
    <t>2011-15</t>
  </si>
  <si>
    <t>2016-20</t>
  </si>
  <si>
    <t>2021-25</t>
  </si>
  <si>
    <t>2026-30</t>
  </si>
  <si>
    <t>2031-35</t>
  </si>
  <si>
    <t>2036-40</t>
  </si>
  <si>
    <t>2041-45</t>
  </si>
  <si>
    <t>2046-50</t>
  </si>
  <si>
    <t>Умерло (тысяч)</t>
  </si>
  <si>
    <t>Прибыло (тысяч)</t>
  </si>
  <si>
    <t>Выбыло (тысяч)</t>
  </si>
  <si>
    <t xml:space="preserve">  85+</t>
  </si>
  <si>
    <t xml:space="preserve"> 85+</t>
  </si>
  <si>
    <t>Px</t>
  </si>
  <si>
    <t>Коэффициенты рождаемости</t>
  </si>
  <si>
    <t>Коэффициент младенческой смертности (на 1000)</t>
  </si>
  <si>
    <t>Родилось</t>
  </si>
  <si>
    <t>Умерло</t>
  </si>
  <si>
    <t>Прибыло</t>
  </si>
  <si>
    <t>Выбыло</t>
  </si>
  <si>
    <t>В течение 5 лет</t>
  </si>
  <si>
    <t>(тысяч человек)</t>
  </si>
  <si>
    <t>Оба пола</t>
  </si>
  <si>
    <t>Население (тысяч)</t>
  </si>
  <si>
    <t>Если Ваш сценарий сбудется, то население России будет таким:</t>
  </si>
  <si>
    <t>Если щелкнуть левой кнопкой мыши на левом рисунке, то Вы увидите возрастную пирамиду на начало следующего пятилетия. После 2051 г. снова идет 2001. Щелчок на правом графике позволит увидеть, как в соответствии с Вашим сценарием будут меняться числа родившихся, умерших, прибывших и выбывших в течение соответствующего пятилетия.</t>
  </si>
  <si>
    <t>Коэффициент выбытия (эмиграции) из России
на 1000 человек</t>
  </si>
  <si>
    <t>Ежегодное число прибывших (иммигрантов) в Россию  (тысяч человек)</t>
  </si>
  <si>
    <t>Перед Вами – пример сценария прогноза населения России до 2050 года. Что надо делать теперь?</t>
  </si>
  <si>
    <r>
      <t xml:space="preserve">◄ Теперь задайте </t>
    </r>
    <r>
      <rPr>
        <b/>
        <sz val="12"/>
        <color indexed="10"/>
        <rFont val="Arial"/>
        <family val="2"/>
      </rPr>
      <t>Ваш</t>
    </r>
    <r>
      <rPr>
        <sz val="12"/>
        <rFont val="Arial"/>
        <family val="2"/>
      </rPr>
      <t xml:space="preserve"> сценарий прогноза. Он описывается 7 переменными, названными в строках </t>
    </r>
    <r>
      <rPr>
        <b/>
        <sz val="12"/>
        <rFont val="Arial"/>
        <family val="2"/>
      </rPr>
      <t>2-8</t>
    </r>
    <r>
      <rPr>
        <sz val="12"/>
        <rFont val="Arial"/>
        <family val="2"/>
      </rPr>
      <t xml:space="preserve"> столбца </t>
    </r>
    <r>
      <rPr>
        <b/>
        <sz val="12"/>
        <rFont val="Arial"/>
        <family val="2"/>
      </rPr>
      <t>А</t>
    </r>
    <r>
      <rPr>
        <sz val="12"/>
        <rFont val="Arial"/>
        <family val="2"/>
      </rPr>
      <t>. Чтобы прочесть краткий комментарий к каждой переменной, достаточно указать мышкой на клетку, содержащую название переменной, например, на клетку А-3</t>
    </r>
  </si>
  <si>
    <r>
      <t xml:space="preserve">◄ В столбце </t>
    </r>
    <r>
      <rPr>
        <b/>
        <sz val="12"/>
        <rFont val="Arial"/>
        <family val="2"/>
      </rPr>
      <t>B</t>
    </r>
    <r>
      <rPr>
        <sz val="12"/>
        <rFont val="Arial"/>
        <family val="2"/>
      </rPr>
      <t xml:space="preserve"> указаны фактические значения соответствующих переменных в среднем за 1996-2000 годы.</t>
    </r>
  </si>
  <si>
    <r>
      <t xml:space="preserve">◄ Начиная с 2001 года Вы можете задавать свои значения переменных. Клетки, предназначенные для задания сценария  (область </t>
    </r>
    <r>
      <rPr>
        <b/>
        <sz val="12"/>
        <rFont val="Arial"/>
        <family val="2"/>
      </rPr>
      <t>C2:L8</t>
    </r>
    <r>
      <rPr>
        <sz val="12"/>
        <rFont val="Arial"/>
        <family val="2"/>
      </rPr>
      <t>),  на листе «Сценарий» закрашены зеленым цветом.</t>
    </r>
  </si>
  <si>
    <r>
      <t xml:space="preserve">◄ Вам не обязательно надо заполнять все клетки. Можно заполнить лишь часть клеток (но в каждой строке таблицы!), оставив клетки между ними </t>
    </r>
    <r>
      <rPr>
        <b/>
        <sz val="12"/>
        <rFont val="Arial"/>
        <family val="2"/>
      </rPr>
      <t>пустыми</t>
    </r>
    <r>
      <rPr>
        <sz val="12"/>
        <rFont val="Arial"/>
        <family val="2"/>
      </rPr>
      <t xml:space="preserve">. Программа сама заполнит пустые клетки, линейно интерполировав между заданными значениями. Для этого на листе есть кнопка «Заполнить пропуски в сценарии». </t>
    </r>
  </si>
  <si>
    <t>◄ Если строки 2-8 уже заполнены, нажмите кнопку «Прогноз».</t>
  </si>
  <si>
    <t>◄ Если на вопрос «Демонстрировать рисунки во время расчета прогноза?» ответить «Да», то расчет будет идти на Ваших глазах, и Вы сможете видеть, как от пятилетия к пятилетию меняется численность населения  и его возрастной состав. После этого Вы увидите итоговую таблицу.</t>
  </si>
  <si>
    <t xml:space="preserve">◄ Если на вопрос «Демонстрировать рисунки во время расчета прогноза?» ответить «Нет», то расчет будет идти быстрее, и Вы сразу получите итоговую таблицу. </t>
  </si>
  <si>
    <t xml:space="preserve">◄ После этого Вы в любом случае можете обратиться к листу «Рисунки». </t>
  </si>
  <si>
    <t xml:space="preserve">◄ После каждого щелчка левой кнопкой мыши на левом графике листа «Рисунки» Вы увидите возрастную пирамиду на начало следующего пятилетия. После 2051 года снова идет 2001. </t>
  </si>
  <si>
    <t>◄ Щелчок на правом графике листа «Рисунки» позволит увидеть, как в соответствии с Вашим сценарием будут меняться числа родившихся, умерших, прибывших и выбывших в течение соответствующего пятилетия.</t>
  </si>
  <si>
    <t>◄ Результаты расчета все время находятся на листе «Прогноз». Если повторить расчет, изменив сценарий, новый прогноз займет место предыдущего. Но Вы можете сохранить результаты каждого выполненного прогноза, скопировав его в новую книгу.</t>
  </si>
  <si>
    <t>Демоскоп желаем Вам успеха!</t>
  </si>
  <si>
    <r>
      <t xml:space="preserve">◄ Границы допустимых изменений переменных указаны в уже знакомых Вам комментариях к переменным (клетки </t>
    </r>
    <r>
      <rPr>
        <b/>
        <sz val="12"/>
        <rFont val="Arial"/>
        <family val="2"/>
      </rPr>
      <t>А2:А8</t>
    </r>
    <r>
      <rPr>
        <sz val="12"/>
        <rFont val="Arial"/>
        <family val="2"/>
      </rPr>
      <t>).</t>
    </r>
  </si>
  <si>
    <r>
      <t xml:space="preserve">Внимание! Вы можете воспользоваться этой программой, только если у Вас установлен </t>
    </r>
    <r>
      <rPr>
        <sz val="12"/>
        <color indexed="10"/>
        <rFont val="Arial"/>
        <family val="2"/>
      </rPr>
      <t>Microsoft Excel 97 или Microsoft Excel 2000</t>
    </r>
    <r>
      <rPr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</si>
</sst>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.0"/>
    <numFmt numFmtId="174" formatCode="0.000000"/>
    <numFmt numFmtId="175" formatCode="0.00000"/>
    <numFmt numFmtId="176" formatCode="0.000"/>
    <numFmt numFmtId="177" formatCode="0.00_)"/>
    <numFmt numFmtId="178" formatCode="0.000_)"/>
    <numFmt numFmtId="179" formatCode="0.0000_)"/>
    <numFmt numFmtId="180" formatCode="0.00000_)"/>
    <numFmt numFmtId="181" formatCode="0_)"/>
    <numFmt numFmtId="182" formatCode="0.000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</numFmts>
  <fonts count="30">
    <font>
      <sz val="10"/>
      <name val="Arial"/>
      <family val="0"/>
    </font>
    <font>
      <sz val="12"/>
      <color indexed="8"/>
      <name val="Courier"/>
      <family val="0"/>
    </font>
    <font>
      <sz val="9"/>
      <color indexed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8.75"/>
      <name val="Arial"/>
      <family val="2"/>
    </font>
    <font>
      <sz val="13.75"/>
      <name val="Arial"/>
      <family val="2"/>
    </font>
    <font>
      <b/>
      <sz val="13.7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5"/>
      <name val="Arial"/>
      <family val="0"/>
    </font>
    <font>
      <b/>
      <sz val="11.5"/>
      <name val="Arial"/>
      <family val="0"/>
    </font>
    <font>
      <sz val="14"/>
      <name val="Arial Cyr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10"/>
      <name val="Tahoma"/>
      <family val="2"/>
    </font>
    <font>
      <sz val="8"/>
      <color indexed="10"/>
      <name val="Tahoma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182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81" fontId="0" fillId="0" borderId="0" xfId="0" applyNumberFormat="1" applyAlignment="1">
      <alignment/>
    </xf>
    <xf numFmtId="172" fontId="0" fillId="0" borderId="0" xfId="0" applyNumberFormat="1" applyAlignment="1" applyProtection="1">
      <alignment horizontal="right"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quotePrefix="1">
      <alignment horizontal="right"/>
    </xf>
    <xf numFmtId="0" fontId="0" fillId="0" borderId="0" xfId="0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175" fontId="2" fillId="0" borderId="0" xfId="0" applyNumberFormat="1" applyFont="1" applyAlignment="1" quotePrefix="1">
      <alignment horizontal="right"/>
    </xf>
    <xf numFmtId="0" fontId="2" fillId="0" borderId="0" xfId="0" applyFont="1" applyAlignment="1">
      <alignment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8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 quotePrefix="1">
      <alignment horizontal="right"/>
      <protection/>
    </xf>
    <xf numFmtId="181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3" fillId="0" borderId="0" xfId="0" applyFont="1" applyAlignment="1">
      <alignment/>
    </xf>
    <xf numFmtId="175" fontId="3" fillId="2" borderId="0" xfId="0" applyNumberFormat="1" applyFont="1" applyFill="1" applyAlignment="1">
      <alignment/>
    </xf>
    <xf numFmtId="175" fontId="3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8" fontId="5" fillId="0" borderId="0" xfId="0" applyNumberFormat="1" applyFont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>
      <alignment/>
    </xf>
    <xf numFmtId="173" fontId="0" fillId="0" borderId="0" xfId="0" applyNumberFormat="1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173" fontId="0" fillId="0" borderId="0" xfId="0" applyNumberForma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 horizontal="left" wrapText="1"/>
    </xf>
    <xf numFmtId="0" fontId="0" fillId="0" borderId="0" xfId="0" applyNumberFormat="1" applyAlignment="1" quotePrefix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 quotePrefix="1">
      <alignment horizontal="right"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" fontId="0" fillId="2" borderId="0" xfId="0" applyNumberFormat="1" applyFill="1" applyAlignment="1" applyProtection="1">
      <alignment/>
      <protection locked="0"/>
    </xf>
    <xf numFmtId="1" fontId="0" fillId="2" borderId="0" xfId="0" applyNumberFormat="1" applyFill="1" applyAlignment="1" applyProtection="1">
      <alignment/>
      <protection/>
    </xf>
    <xf numFmtId="182" fontId="0" fillId="0" borderId="0" xfId="0" applyNumberFormat="1" applyAlignment="1" applyProtection="1">
      <alignment/>
      <protection locked="0"/>
    </xf>
    <xf numFmtId="173" fontId="2" fillId="0" borderId="0" xfId="0" applyNumberFormat="1" applyFont="1" applyAlignment="1" applyProtection="1">
      <alignment/>
      <protection locked="0"/>
    </xf>
    <xf numFmtId="182" fontId="0" fillId="2" borderId="0" xfId="0" applyNumberFormat="1" applyFill="1" applyAlignment="1">
      <alignment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ill="1" applyAlignment="1">
      <alignment/>
    </xf>
    <xf numFmtId="1" fontId="0" fillId="0" borderId="0" xfId="0" applyNumberFormat="1" applyAlignment="1" applyProtection="1">
      <alignment/>
      <protection locked="0"/>
    </xf>
    <xf numFmtId="173" fontId="0" fillId="2" borderId="0" xfId="0" applyNumberFormat="1" applyFill="1" applyAlignment="1">
      <alignment/>
    </xf>
    <xf numFmtId="2" fontId="0" fillId="0" borderId="0" xfId="0" applyNumberFormat="1" applyAlignment="1" applyProtection="1">
      <alignment/>
      <protection locked="0"/>
    </xf>
    <xf numFmtId="2" fontId="0" fillId="2" borderId="0" xfId="0" applyNumberFormat="1" applyFill="1" applyAlignment="1">
      <alignment/>
    </xf>
    <xf numFmtId="0" fontId="0" fillId="0" borderId="0" xfId="0" applyAlignment="1">
      <alignment horizontal="left"/>
    </xf>
    <xf numFmtId="0" fontId="14" fillId="3" borderId="0" xfId="0" applyFont="1" applyFill="1" applyAlignment="1" quotePrefix="1">
      <alignment horizontal="left" wrapText="1" shrinkToFit="1"/>
    </xf>
    <xf numFmtId="0" fontId="15" fillId="3" borderId="0" xfId="0" applyFont="1" applyFill="1" applyAlignment="1" quotePrefix="1">
      <alignment horizontal="center" shrinkToFit="1"/>
    </xf>
    <xf numFmtId="0" fontId="15" fillId="3" borderId="0" xfId="0" applyFont="1" applyFill="1" applyAlignment="1">
      <alignment horizontal="center" shrinkToFit="1"/>
    </xf>
    <xf numFmtId="0" fontId="0" fillId="3" borderId="0" xfId="0" applyFill="1" applyAlignment="1">
      <alignment/>
    </xf>
    <xf numFmtId="0" fontId="3" fillId="3" borderId="0" xfId="0" applyFont="1" applyFill="1" applyAlignment="1" quotePrefix="1">
      <alignment horizontal="left" wrapText="1" shrinkToFit="1"/>
    </xf>
    <xf numFmtId="176" fontId="0" fillId="3" borderId="0" xfId="0" applyNumberFormat="1" applyFill="1" applyAlignment="1">
      <alignment/>
    </xf>
    <xf numFmtId="173" fontId="0" fillId="3" borderId="0" xfId="0" applyNumberFormat="1" applyFill="1" applyAlignment="1">
      <alignment/>
    </xf>
    <xf numFmtId="0" fontId="3" fillId="3" borderId="0" xfId="0" applyFont="1" applyFill="1" applyAlignment="1">
      <alignment horizontal="left" wrapText="1" shrinkToFit="1"/>
    </xf>
    <xf numFmtId="2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176" fontId="0" fillId="4" borderId="1" xfId="0" applyNumberFormat="1" applyFill="1" applyBorder="1" applyAlignment="1" applyProtection="1">
      <alignment/>
      <protection locked="0"/>
    </xf>
    <xf numFmtId="173" fontId="0" fillId="4" borderId="1" xfId="0" applyNumberFormat="1" applyFill="1" applyBorder="1" applyAlignment="1" applyProtection="1">
      <alignment/>
      <protection locked="0"/>
    </xf>
    <xf numFmtId="2" fontId="0" fillId="4" borderId="1" xfId="0" applyNumberFormat="1" applyFill="1" applyBorder="1" applyAlignment="1" applyProtection="1">
      <alignment/>
      <protection locked="0"/>
    </xf>
    <xf numFmtId="1" fontId="0" fillId="4" borderId="0" xfId="0" applyNumberForma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3" borderId="0" xfId="0" applyFill="1" applyAlignment="1" quotePrefix="1">
      <alignment horizontal="left"/>
    </xf>
    <xf numFmtId="0" fontId="0" fillId="3" borderId="0" xfId="0" applyFill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1" fontId="0" fillId="3" borderId="0" xfId="0" applyNumberFormat="1" applyFill="1" applyAlignment="1" applyProtection="1">
      <alignment/>
      <protection locked="0"/>
    </xf>
    <xf numFmtId="0" fontId="0" fillId="3" borderId="0" xfId="0" applyFill="1" applyAlignment="1" applyProtection="1" quotePrefix="1">
      <alignment horizontal="right"/>
      <protection/>
    </xf>
    <xf numFmtId="0" fontId="0" fillId="3" borderId="0" xfId="0" applyFill="1" applyAlignment="1" applyProtection="1">
      <alignment horizontal="right"/>
      <protection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>
      <alignment horizontal="left"/>
    </xf>
    <xf numFmtId="0" fontId="14" fillId="3" borderId="0" xfId="0" applyFont="1" applyFill="1" applyAlignment="1" quotePrefix="1">
      <alignment horizontal="left"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/>
    </xf>
    <xf numFmtId="0" fontId="7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 quotePrefix="1">
      <alignment horizontal="left"/>
    </xf>
    <xf numFmtId="0" fontId="26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6" fillId="0" borderId="0" xfId="0" applyFont="1" applyAlignment="1" quotePrefix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 quotePrefix="1">
      <alignment horizontal="left" vertical="top" wrapText="1"/>
    </xf>
    <xf numFmtId="0" fontId="21" fillId="0" borderId="0" xfId="0" applyFont="1" applyAlignment="1">
      <alignment vertical="top" wrapText="1"/>
    </xf>
    <xf numFmtId="1" fontId="0" fillId="4" borderId="0" xfId="0" applyNumberForma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1845"/>
          <c:w val="0.90475"/>
          <c:h val="0.74475"/>
        </c:manualLayout>
      </c:layout>
      <c:lineChart>
        <c:grouping val="standard"/>
        <c:varyColors val="0"/>
        <c:ser>
          <c:idx val="0"/>
          <c:order val="0"/>
          <c:tx>
            <c:strRef>
              <c:f>Calculate!$BV$2</c:f>
              <c:strCache>
                <c:ptCount val="1"/>
                <c:pt idx="0">
                  <c:v>Население (млн.)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Calculate!$BW$1:$CG$1</c:f>
              <c:numCache>
                <c:ptCount val="11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  <c:pt idx="4">
                  <c:v>2021</c:v>
                </c:pt>
                <c:pt idx="5">
                  <c:v>2026</c:v>
                </c:pt>
                <c:pt idx="6">
                  <c:v>2031</c:v>
                </c:pt>
                <c:pt idx="7">
                  <c:v>2036</c:v>
                </c:pt>
                <c:pt idx="8">
                  <c:v>2041</c:v>
                </c:pt>
                <c:pt idx="9">
                  <c:v>2046</c:v>
                </c:pt>
                <c:pt idx="10">
                  <c:v>2051</c:v>
                </c:pt>
              </c:numCache>
            </c:numRef>
          </c:cat>
          <c:val>
            <c:numRef>
              <c:f>Calculate!$BW$2:$CG$2</c:f>
              <c:numCache>
                <c:ptCount val="11"/>
              </c:numCache>
            </c:numRef>
          </c:val>
          <c:smooth val="0"/>
        </c:ser>
        <c:ser>
          <c:idx val="1"/>
          <c:order val="1"/>
          <c:tx>
            <c:strRef>
              <c:f>Calculate!$BV$3</c:f>
              <c:strCache>
                <c:ptCount val="1"/>
                <c:pt idx="0">
                  <c:v>Новый вариант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Calculate!$BW$1:$CG$1</c:f>
              <c:numCache>
                <c:ptCount val="11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  <c:pt idx="4">
                  <c:v>2021</c:v>
                </c:pt>
                <c:pt idx="5">
                  <c:v>2026</c:v>
                </c:pt>
                <c:pt idx="6">
                  <c:v>2031</c:v>
                </c:pt>
                <c:pt idx="7">
                  <c:v>2036</c:v>
                </c:pt>
                <c:pt idx="8">
                  <c:v>2041</c:v>
                </c:pt>
                <c:pt idx="9">
                  <c:v>2046</c:v>
                </c:pt>
                <c:pt idx="10">
                  <c:v>2051</c:v>
                </c:pt>
              </c:numCache>
            </c:numRef>
          </c:cat>
          <c:val>
            <c:numRef>
              <c:f>Calculate!$BW$3:$CG$3</c:f>
              <c:numCache>
                <c:ptCount val="11"/>
                <c:pt idx="0">
                  <c:v>144.819099</c:v>
                </c:pt>
                <c:pt idx="1">
                  <c:v>141.6549992916044</c:v>
                </c:pt>
                <c:pt idx="2">
                  <c:v>138.71598138500028</c:v>
                </c:pt>
                <c:pt idx="3">
                  <c:v>135.18122607446494</c:v>
                </c:pt>
                <c:pt idx="4">
                  <c:v>130.9112822869435</c:v>
                </c:pt>
                <c:pt idx="5">
                  <c:v>125.83158359758384</c:v>
                </c:pt>
                <c:pt idx="6">
                  <c:v>120.64534491781716</c:v>
                </c:pt>
                <c:pt idx="7">
                  <c:v>115.19157213998946</c:v>
                </c:pt>
                <c:pt idx="8">
                  <c:v>114.56822686443566</c:v>
                </c:pt>
                <c:pt idx="9">
                  <c:v>113.79369297473353</c:v>
                </c:pt>
                <c:pt idx="10">
                  <c:v>108.07934683954409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Calculate!$BV$4</c:f>
              <c:strCache>
                <c:ptCount val="1"/>
                <c:pt idx="0">
                  <c:v>Предыдущий  вариант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Calculate!$BW$1:$CG$1</c:f>
              <c:numCache>
                <c:ptCount val="11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  <c:pt idx="4">
                  <c:v>2021</c:v>
                </c:pt>
                <c:pt idx="5">
                  <c:v>2026</c:v>
                </c:pt>
                <c:pt idx="6">
                  <c:v>2031</c:v>
                </c:pt>
                <c:pt idx="7">
                  <c:v>2036</c:v>
                </c:pt>
                <c:pt idx="8">
                  <c:v>2041</c:v>
                </c:pt>
                <c:pt idx="9">
                  <c:v>2046</c:v>
                </c:pt>
                <c:pt idx="10">
                  <c:v>2051</c:v>
                </c:pt>
              </c:numCache>
            </c:numRef>
          </c:cat>
          <c:val>
            <c:numRef>
              <c:f>Calculate!$BW$4:$CG$4</c:f>
              <c:numCache>
                <c:ptCount val="11"/>
                <c:pt idx="0">
                  <c:v>144.819099</c:v>
                </c:pt>
                <c:pt idx="1">
                  <c:v>141.65499929160447</c:v>
                </c:pt>
                <c:pt idx="2">
                  <c:v>138.7159813850003</c:v>
                </c:pt>
                <c:pt idx="3">
                  <c:v>135.18122607446492</c:v>
                </c:pt>
                <c:pt idx="4">
                  <c:v>130.91128228694353</c:v>
                </c:pt>
                <c:pt idx="5">
                  <c:v>125.83158359758384</c:v>
                </c:pt>
                <c:pt idx="6">
                  <c:v>120.64534491781727</c:v>
                </c:pt>
                <c:pt idx="7">
                  <c:v>115.19157213998949</c:v>
                </c:pt>
                <c:pt idx="8">
                  <c:v>109.62718429491561</c:v>
                </c:pt>
                <c:pt idx="9">
                  <c:v>104.00830964110845</c:v>
                </c:pt>
                <c:pt idx="10">
                  <c:v>98.47119131913644</c:v>
                </c:pt>
              </c:numCache>
            </c:numRef>
          </c:val>
          <c:smooth val="0"/>
        </c:ser>
        <c:marker val="1"/>
        <c:axId val="3153381"/>
        <c:axId val="28380430"/>
      </c:lineChart>
      <c:catAx>
        <c:axId val="3153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Годы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8380430"/>
        <c:crosses val="autoZero"/>
        <c:auto val="1"/>
        <c:lblOffset val="100"/>
        <c:noMultiLvlLbl val="0"/>
      </c:catAx>
      <c:valAx>
        <c:axId val="2838043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338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55"/>
          <c:y val="0"/>
          <c:w val="0.3495"/>
          <c:h val="0.17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995"/>
          <c:w val="0.99425"/>
          <c:h val="0.83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Calculate!$BS$4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Calculate!$BR$5:$BR$22</c:f>
              <c:strCache>
                <c:ptCount val="18"/>
                <c:pt idx="0">
                  <c:v> 0-4</c:v>
                </c:pt>
                <c:pt idx="1">
                  <c:v> 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 85+</c:v>
                </c:pt>
              </c:strCache>
            </c:strRef>
          </c:cat>
          <c:val>
            <c:numRef>
              <c:f>Calculate!$BS$5:$BS$22</c:f>
              <c:numCache>
                <c:ptCount val="18"/>
                <c:pt idx="0">
                  <c:v>2139.840575947248</c:v>
                </c:pt>
                <c:pt idx="1">
                  <c:v>2370.505590256461</c:v>
                </c:pt>
                <c:pt idx="2">
                  <c:v>2570.546294934124</c:v>
                </c:pt>
                <c:pt idx="3">
                  <c:v>2668.463968600596</c:v>
                </c:pt>
                <c:pt idx="4">
                  <c:v>2712.6027498194244</c:v>
                </c:pt>
                <c:pt idx="5">
                  <c:v>2921.9496164614293</c:v>
                </c:pt>
                <c:pt idx="6">
                  <c:v>3407.0144104525834</c:v>
                </c:pt>
                <c:pt idx="7">
                  <c:v>3898.475391469857</c:v>
                </c:pt>
                <c:pt idx="8">
                  <c:v>4005.03289300148</c:v>
                </c:pt>
                <c:pt idx="9">
                  <c:v>3650.377578852148</c:v>
                </c:pt>
                <c:pt idx="10">
                  <c:v>3267.6278662847017</c:v>
                </c:pt>
                <c:pt idx="11">
                  <c:v>3778.5120551425603</c:v>
                </c:pt>
                <c:pt idx="12">
                  <c:v>5250.206792422184</c:v>
                </c:pt>
                <c:pt idx="13">
                  <c:v>5046.56181522719</c:v>
                </c:pt>
                <c:pt idx="14">
                  <c:v>4089.4680162622026</c:v>
                </c:pt>
                <c:pt idx="15">
                  <c:v>3135.483218146844</c:v>
                </c:pt>
                <c:pt idx="16">
                  <c:v>2022.9927143889352</c:v>
                </c:pt>
                <c:pt idx="17">
                  <c:v>1817.5664202364333</c:v>
                </c:pt>
              </c:numCache>
            </c:numRef>
          </c:val>
        </c:ser>
        <c:ser>
          <c:idx val="1"/>
          <c:order val="1"/>
          <c:tx>
            <c:strRef>
              <c:f>Calculate!$BT$4</c:f>
              <c:strCache>
                <c:ptCount val="1"/>
                <c:pt idx="0">
                  <c:v>2051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Calculate!$BR$5:$BR$22</c:f>
              <c:strCache>
                <c:ptCount val="18"/>
                <c:pt idx="0">
                  <c:v> 0-4</c:v>
                </c:pt>
                <c:pt idx="1">
                  <c:v> 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 85+</c:v>
                </c:pt>
              </c:strCache>
            </c:strRef>
          </c:cat>
          <c:val>
            <c:numRef>
              <c:f>Calculate!$BT$5:$BT$22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gapWidth val="0"/>
        <c:axId val="54097279"/>
        <c:axId val="17113464"/>
      </c:barChart>
      <c:catAx>
        <c:axId val="54097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113464"/>
        <c:crosses val="autoZero"/>
        <c:auto val="1"/>
        <c:lblOffset val="100"/>
        <c:noMultiLvlLbl val="0"/>
      </c:catAx>
      <c:valAx>
        <c:axId val="17113464"/>
        <c:scaling>
          <c:orientation val="minMax"/>
          <c:max val="9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(тысяч человек)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5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97279"/>
        <c:crossesAt val="1"/>
        <c:crossBetween val="between"/>
        <c:dispUnits/>
        <c:majorUnit val="2000"/>
      </c:valAx>
      <c:spPr>
        <a:noFill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"/>
          <c:y val="0.00575"/>
          <c:w val="0.3495"/>
          <c:h val="0.05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9325"/>
          <c:w val="0.99425"/>
          <c:h val="0.83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Calculate!$BP$4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Calculate!$BO$5:$BO$22</c:f>
              <c:strCache>
                <c:ptCount val="18"/>
                <c:pt idx="0">
                  <c:v>  0-4</c:v>
                </c:pt>
                <c:pt idx="1">
                  <c:v>  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  85+</c:v>
                </c:pt>
              </c:strCache>
            </c:strRef>
          </c:cat>
          <c:val>
            <c:numRef>
              <c:f>Calculate!$BP$5:$BP$22</c:f>
              <c:numCache>
                <c:ptCount val="18"/>
                <c:pt idx="0">
                  <c:v>2278.823554794147</c:v>
                </c:pt>
                <c:pt idx="1">
                  <c:v>2522.0529253822133</c:v>
                </c:pt>
                <c:pt idx="2">
                  <c:v>2729.8204523612976</c:v>
                </c:pt>
                <c:pt idx="3">
                  <c:v>2825.7674170811515</c:v>
                </c:pt>
                <c:pt idx="4">
                  <c:v>2851.8675043999315</c:v>
                </c:pt>
                <c:pt idx="5">
                  <c:v>3038.0839873407053</c:v>
                </c:pt>
                <c:pt idx="6">
                  <c:v>3500.301023909004</c:v>
                </c:pt>
                <c:pt idx="7">
                  <c:v>3942.942823376071</c:v>
                </c:pt>
                <c:pt idx="8">
                  <c:v>3952.8875296669466</c:v>
                </c:pt>
                <c:pt idx="9">
                  <c:v>3471.0121915626473</c:v>
                </c:pt>
                <c:pt idx="10">
                  <c:v>2929.158358801635</c:v>
                </c:pt>
                <c:pt idx="11">
                  <c:v>3125.319655766849</c:v>
                </c:pt>
                <c:pt idx="12">
                  <c:v>3871.8614574747558</c:v>
                </c:pt>
                <c:pt idx="13">
                  <c:v>3220.8569562256</c:v>
                </c:pt>
                <c:pt idx="14">
                  <c:v>2216.1875329572117</c:v>
                </c:pt>
                <c:pt idx="15">
                  <c:v>1460.766942996295</c:v>
                </c:pt>
                <c:pt idx="16">
                  <c:v>797.9880044398268</c:v>
                </c:pt>
                <c:pt idx="17">
                  <c:v>590.4205531013797</c:v>
                </c:pt>
              </c:numCache>
            </c:numRef>
          </c:val>
        </c:ser>
        <c:ser>
          <c:idx val="1"/>
          <c:order val="1"/>
          <c:tx>
            <c:strRef>
              <c:f>Calculate!$BQ$4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Calculate!$BO$5:$BO$22</c:f>
              <c:strCache>
                <c:ptCount val="18"/>
                <c:pt idx="0">
                  <c:v>  0-4</c:v>
                </c:pt>
                <c:pt idx="1">
                  <c:v>  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  85+</c:v>
                </c:pt>
              </c:strCache>
            </c:strRef>
          </c:cat>
          <c:val>
            <c:numRef>
              <c:f>Calculate!$BQ$5:$BQ$22</c:f>
              <c:numCache>
                <c:ptCount val="18"/>
              </c:numCache>
            </c:numRef>
          </c:val>
        </c:ser>
        <c:overlap val="100"/>
        <c:gapWidth val="0"/>
        <c:axId val="19803449"/>
        <c:axId val="44013314"/>
      </c:barChart>
      <c:catAx>
        <c:axId val="1980344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4013314"/>
        <c:crosses val="autoZero"/>
        <c:auto val="1"/>
        <c:lblOffset val="100"/>
        <c:noMultiLvlLbl val="0"/>
      </c:catAx>
      <c:valAx>
        <c:axId val="44013314"/>
        <c:scaling>
          <c:orientation val="maxMin"/>
          <c:max val="9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Население</a:t>
                </a:r>
              </a:p>
            </c:rich>
          </c:tx>
          <c:layout>
            <c:manualLayout>
              <c:xMode val="factor"/>
              <c:yMode val="factor"/>
              <c:x val="0"/>
              <c:y val="0.06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03449"/>
        <c:crossesAt val="1"/>
        <c:crossBetween val="between"/>
        <c:dispUnits/>
        <c:majorUnit val="20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1</xdr:col>
      <xdr:colOff>304800</xdr:colOff>
      <xdr:row>11</xdr:row>
      <xdr:rowOff>142875</xdr:rowOff>
    </xdr:to>
    <xdr:sp macro="[0]!Макрос1">
      <xdr:nvSpPr>
        <xdr:cNvPr id="1" name="AutoShape 1"/>
        <xdr:cNvSpPr>
          <a:spLocks/>
        </xdr:cNvSpPr>
      </xdr:nvSpPr>
      <xdr:spPr>
        <a:xfrm>
          <a:off x="104775" y="3333750"/>
          <a:ext cx="1838325" cy="457200"/>
        </a:xfrm>
        <a:prstGeom prst="flowChartProcess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Рассчитать прогноз</a:t>
          </a:r>
        </a:p>
      </xdr:txBody>
    </xdr:sp>
    <xdr:clientData/>
  </xdr:twoCellAnchor>
  <xdr:twoCellAnchor>
    <xdr:from>
      <xdr:col>1</xdr:col>
      <xdr:colOff>523875</xdr:colOff>
      <xdr:row>9</xdr:row>
      <xdr:rowOff>0</xdr:rowOff>
    </xdr:from>
    <xdr:to>
      <xdr:col>4</xdr:col>
      <xdr:colOff>533400</xdr:colOff>
      <xdr:row>11</xdr:row>
      <xdr:rowOff>142875</xdr:rowOff>
    </xdr:to>
    <xdr:sp macro="[0]!Макрос2">
      <xdr:nvSpPr>
        <xdr:cNvPr id="2" name="AutoShape 2"/>
        <xdr:cNvSpPr>
          <a:spLocks/>
        </xdr:cNvSpPr>
      </xdr:nvSpPr>
      <xdr:spPr>
        <a:xfrm>
          <a:off x="2162175" y="3333750"/>
          <a:ext cx="1838325" cy="457200"/>
        </a:xfrm>
        <a:prstGeom prst="flowChartProcess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Заполнить пропуски в сценарии</a:t>
          </a:r>
        </a:p>
      </xdr:txBody>
    </xdr:sp>
    <xdr:clientData/>
  </xdr:twoCellAnchor>
  <xdr:twoCellAnchor>
    <xdr:from>
      <xdr:col>5</xdr:col>
      <xdr:colOff>66675</xdr:colOff>
      <xdr:row>9</xdr:row>
      <xdr:rowOff>0</xdr:rowOff>
    </xdr:from>
    <xdr:to>
      <xdr:col>8</xdr:col>
      <xdr:colOff>76200</xdr:colOff>
      <xdr:row>11</xdr:row>
      <xdr:rowOff>142875</xdr:rowOff>
    </xdr:to>
    <xdr:sp macro="[0]!Макрос3">
      <xdr:nvSpPr>
        <xdr:cNvPr id="3" name="AutoShape 3"/>
        <xdr:cNvSpPr>
          <a:spLocks/>
        </xdr:cNvSpPr>
      </xdr:nvSpPr>
      <xdr:spPr>
        <a:xfrm>
          <a:off x="4143375" y="3333750"/>
          <a:ext cx="1838325" cy="457200"/>
        </a:xfrm>
        <a:prstGeom prst="flowChartProcess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Пример сценария</a:t>
          </a:r>
        </a:p>
      </xdr:txBody>
    </xdr:sp>
    <xdr:clientData/>
  </xdr:twoCellAnchor>
  <xdr:twoCellAnchor>
    <xdr:from>
      <xdr:col>8</xdr:col>
      <xdr:colOff>428625</xdr:colOff>
      <xdr:row>11</xdr:row>
      <xdr:rowOff>0</xdr:rowOff>
    </xdr:from>
    <xdr:to>
      <xdr:col>10</xdr:col>
      <xdr:colOff>200025</xdr:colOff>
      <xdr:row>12</xdr:row>
      <xdr:rowOff>0</xdr:rowOff>
    </xdr:to>
    <xdr:sp macro="[0]!Макрос6">
      <xdr:nvSpPr>
        <xdr:cNvPr id="4" name="Rectangle 4"/>
        <xdr:cNvSpPr>
          <a:spLocks/>
        </xdr:cNvSpPr>
      </xdr:nvSpPr>
      <xdr:spPr>
        <a:xfrm>
          <a:off x="6334125" y="3648075"/>
          <a:ext cx="9906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</a:t>
          </a:r>
        </a:p>
      </xdr:txBody>
    </xdr:sp>
    <xdr:clientData/>
  </xdr:twoCellAnchor>
  <xdr:twoCellAnchor>
    <xdr:from>
      <xdr:col>10</xdr:col>
      <xdr:colOff>209550</xdr:colOff>
      <xdr:row>11</xdr:row>
      <xdr:rowOff>0</xdr:rowOff>
    </xdr:from>
    <xdr:to>
      <xdr:col>11</xdr:col>
      <xdr:colOff>581025</xdr:colOff>
      <xdr:row>12</xdr:row>
      <xdr:rowOff>0</xdr:rowOff>
    </xdr:to>
    <xdr:sp macro="[0]!Макрос7">
      <xdr:nvSpPr>
        <xdr:cNvPr id="5" name="Rectangle 5"/>
        <xdr:cNvSpPr>
          <a:spLocks/>
        </xdr:cNvSpPr>
      </xdr:nvSpPr>
      <xdr:spPr>
        <a:xfrm>
          <a:off x="7334250" y="3648075"/>
          <a:ext cx="9810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Нет</a:t>
          </a:r>
        </a:p>
      </xdr:txBody>
    </xdr:sp>
    <xdr:clientData/>
  </xdr:twoCellAnchor>
  <xdr:twoCellAnchor>
    <xdr:from>
      <xdr:col>8</xdr:col>
      <xdr:colOff>419100</xdr:colOff>
      <xdr:row>9</xdr:row>
      <xdr:rowOff>9525</xdr:rowOff>
    </xdr:from>
    <xdr:to>
      <xdr:col>11</xdr:col>
      <xdr:colOff>581025</xdr:colOff>
      <xdr:row>10</xdr:row>
      <xdr:rowOff>133350</xdr:rowOff>
    </xdr:to>
    <xdr:sp>
      <xdr:nvSpPr>
        <xdr:cNvPr id="6" name="Rectangle 7"/>
        <xdr:cNvSpPr>
          <a:spLocks/>
        </xdr:cNvSpPr>
      </xdr:nvSpPr>
      <xdr:spPr>
        <a:xfrm>
          <a:off x="6324600" y="3343275"/>
          <a:ext cx="1990725" cy="2857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Демонстрировать рисунки во время расчета прогноза?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0.55775</cdr:x>
      <cdr:y>0.10125</cdr:y>
    </cdr:from>
    <cdr:to>
      <cdr:x>0.91875</cdr:x>
      <cdr:y>0.15725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561975"/>
          <a:ext cx="990600" cy="3143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"/>
              <a:ea typeface="Arial"/>
              <a:cs typeface="Arial"/>
            </a:rPr>
            <a:t>Женщины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0.00475</cdr:y>
    </cdr:from>
    <cdr:to>
      <cdr:x>0.86175</cdr:x>
      <cdr:y>0.05575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19050"/>
          <a:ext cx="4762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1" i="0" u="none" baseline="0">
              <a:latin typeface="Arial"/>
              <a:ea typeface="Arial"/>
              <a:cs typeface="Arial"/>
            </a:rPr>
            <a:t>Год</a:t>
          </a:r>
        </a:p>
      </cdr:txBody>
    </cdr:sp>
  </cdr:relSizeAnchor>
  <cdr:relSizeAnchor xmlns:cdr="http://schemas.openxmlformats.org/drawingml/2006/chartDrawing">
    <cdr:from>
      <cdr:x>0.14275</cdr:x>
      <cdr:y>0.1075</cdr:y>
    </cdr:from>
    <cdr:to>
      <cdr:x>0.476</cdr:x>
      <cdr:y>0.162</cdr:y>
    </cdr:to>
    <cdr:sp>
      <cdr:nvSpPr>
        <cdr:cNvPr id="2" name="TextBox 3"/>
        <cdr:cNvSpPr txBox="1">
          <a:spLocks noChangeArrowheads="1"/>
        </cdr:cNvSpPr>
      </cdr:nvSpPr>
      <cdr:spPr>
        <a:xfrm>
          <a:off x="390525" y="600075"/>
          <a:ext cx="914400" cy="3048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"/>
              <a:ea typeface="Arial"/>
              <a:cs typeface="Arial"/>
            </a:rPr>
            <a:t>Мужчины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123825</xdr:rowOff>
    </xdr:from>
    <xdr:to>
      <xdr:col>18</xdr:col>
      <xdr:colOff>333375</xdr:colOff>
      <xdr:row>35</xdr:row>
      <xdr:rowOff>47625</xdr:rowOff>
    </xdr:to>
    <xdr:graphicFrame macro="[0]!Макрос5">
      <xdr:nvGraphicFramePr>
        <xdr:cNvPr id="1" name="Chart 16"/>
        <xdr:cNvGraphicFramePr/>
      </xdr:nvGraphicFramePr>
      <xdr:xfrm>
        <a:off x="5257800" y="123825"/>
        <a:ext cx="604837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104775</xdr:rowOff>
    </xdr:from>
    <xdr:to>
      <xdr:col>8</xdr:col>
      <xdr:colOff>247650</xdr:colOff>
      <xdr:row>34</xdr:row>
      <xdr:rowOff>152400</xdr:rowOff>
    </xdr:to>
    <xdr:grpSp>
      <xdr:nvGrpSpPr>
        <xdr:cNvPr id="2" name="Group 15"/>
        <xdr:cNvGrpSpPr>
          <a:grpSpLocks/>
        </xdr:cNvGrpSpPr>
      </xdr:nvGrpSpPr>
      <xdr:grpSpPr>
        <a:xfrm>
          <a:off x="0" y="104775"/>
          <a:ext cx="5124450" cy="5600700"/>
          <a:chOff x="0" y="0"/>
          <a:chExt cx="538" cy="588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250" y="0"/>
          <a:ext cx="288" cy="58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4"/>
          <xdr:cNvGraphicFramePr/>
        </xdr:nvGraphicFramePr>
        <xdr:xfrm>
          <a:off x="0" y="0"/>
          <a:ext cx="288" cy="58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0</xdr:col>
      <xdr:colOff>66675</xdr:colOff>
      <xdr:row>0</xdr:row>
      <xdr:rowOff>95250</xdr:rowOff>
    </xdr:from>
    <xdr:to>
      <xdr:col>8</xdr:col>
      <xdr:colOff>257175</xdr:colOff>
      <xdr:row>35</xdr:row>
      <xdr:rowOff>0</xdr:rowOff>
    </xdr:to>
    <xdr:sp>
      <xdr:nvSpPr>
        <xdr:cNvPr id="5" name="Rectangle 17"/>
        <xdr:cNvSpPr>
          <a:spLocks/>
        </xdr:cNvSpPr>
      </xdr:nvSpPr>
      <xdr:spPr>
        <a:xfrm>
          <a:off x="66675" y="95250"/>
          <a:ext cx="5067300" cy="561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28"/>
  <sheetViews>
    <sheetView tabSelected="1" zoomScale="80" zoomScaleNormal="80" workbookViewId="0" topLeftCell="A1">
      <selection activeCell="C11" sqref="C11"/>
    </sheetView>
  </sheetViews>
  <sheetFormatPr defaultColWidth="9.140625" defaultRowHeight="12.75"/>
  <cols>
    <col min="1" max="1" width="24.57421875" style="64" customWidth="1"/>
    <col min="2" max="11" width="9.140625" style="64" customWidth="1"/>
    <col min="12" max="12" width="9.8515625" style="64" customWidth="1"/>
    <col min="13" max="16384" width="9.140625" style="64" customWidth="1"/>
  </cols>
  <sheetData>
    <row r="1" spans="1:12" ht="47.25">
      <c r="A1" s="61" t="s">
        <v>93</v>
      </c>
      <c r="B1" s="62" t="s">
        <v>94</v>
      </c>
      <c r="C1" s="63" t="s">
        <v>72</v>
      </c>
      <c r="D1" s="63" t="s">
        <v>73</v>
      </c>
      <c r="E1" s="63" t="s">
        <v>74</v>
      </c>
      <c r="F1" s="63" t="s">
        <v>75</v>
      </c>
      <c r="G1" s="63" t="s">
        <v>76</v>
      </c>
      <c r="H1" s="63" t="s">
        <v>77</v>
      </c>
      <c r="I1" s="63" t="s">
        <v>78</v>
      </c>
      <c r="J1" s="63" t="s">
        <v>79</v>
      </c>
      <c r="K1" s="63" t="s">
        <v>80</v>
      </c>
      <c r="L1" s="63" t="s">
        <v>81</v>
      </c>
    </row>
    <row r="2" spans="1:12" ht="22.5">
      <c r="A2" s="65" t="s">
        <v>60</v>
      </c>
      <c r="B2" s="66">
        <v>1.2267968180457975</v>
      </c>
      <c r="C2" s="71">
        <v>1.3086569482793404</v>
      </c>
      <c r="D2" s="71">
        <v>1.3826061300154722</v>
      </c>
      <c r="E2" s="71">
        <v>1.396</v>
      </c>
      <c r="F2" s="71">
        <v>1.396</v>
      </c>
      <c r="G2" s="71">
        <v>1.396</v>
      </c>
      <c r="H2" s="71">
        <v>1.396</v>
      </c>
      <c r="I2" s="71">
        <v>1.396</v>
      </c>
      <c r="J2" s="71">
        <v>1.396</v>
      </c>
      <c r="K2" s="71">
        <v>1.396</v>
      </c>
      <c r="L2" s="71">
        <v>1.396</v>
      </c>
    </row>
    <row r="3" spans="1:12" ht="22.5">
      <c r="A3" s="65" t="s">
        <v>61</v>
      </c>
      <c r="B3" s="67">
        <v>25</v>
      </c>
      <c r="C3" s="72">
        <v>26.030822248761684</v>
      </c>
      <c r="D3" s="72">
        <v>26.50853452302104</v>
      </c>
      <c r="E3" s="72">
        <v>26.912646418922293</v>
      </c>
      <c r="F3" s="72">
        <v>27.05722678122877</v>
      </c>
      <c r="G3" s="72">
        <v>27.05722678122877</v>
      </c>
      <c r="H3" s="72">
        <v>27.05722678122877</v>
      </c>
      <c r="I3" s="72">
        <v>27.05722678122877</v>
      </c>
      <c r="J3" s="72">
        <v>27.05722678122877</v>
      </c>
      <c r="K3" s="72">
        <v>27.05722678122877</v>
      </c>
      <c r="L3" s="72">
        <v>27.05722678122877</v>
      </c>
    </row>
    <row r="4" spans="1:12" ht="33.75">
      <c r="A4" s="65" t="s">
        <v>62</v>
      </c>
      <c r="B4" s="67">
        <v>60.12126423002327</v>
      </c>
      <c r="C4" s="72">
        <v>60.30051634702329</v>
      </c>
      <c r="D4" s="72">
        <v>61.25194245715046</v>
      </c>
      <c r="E4" s="72">
        <v>61.61295581315444</v>
      </c>
      <c r="F4" s="72">
        <v>62.24918786363553</v>
      </c>
      <c r="G4" s="72">
        <v>62.88541991411662</v>
      </c>
      <c r="H4" s="72">
        <v>63.52165196459772</v>
      </c>
      <c r="I4" s="72">
        <v>64.15788401507882</v>
      </c>
      <c r="J4" s="72">
        <v>64.79411606555992</v>
      </c>
      <c r="K4" s="72">
        <v>65.43034811604102</v>
      </c>
      <c r="L4" s="72">
        <v>66.06658016652212</v>
      </c>
    </row>
    <row r="5" spans="1:12" ht="33.75">
      <c r="A5" s="65" t="s">
        <v>63</v>
      </c>
      <c r="B5" s="67">
        <v>72.6254078873076</v>
      </c>
      <c r="C5" s="72">
        <v>73.14096433405008</v>
      </c>
      <c r="D5" s="72">
        <v>73.43613537640404</v>
      </c>
      <c r="E5" s="72">
        <v>73.6778874900822</v>
      </c>
      <c r="F5" s="72">
        <v>74.22266939690743</v>
      </c>
      <c r="G5" s="72">
        <v>74.76745130373267</v>
      </c>
      <c r="H5" s="72">
        <v>75.3122332105579</v>
      </c>
      <c r="I5" s="72">
        <v>75.85701511738314</v>
      </c>
      <c r="J5" s="72">
        <v>76.40179702420838</v>
      </c>
      <c r="K5" s="72">
        <v>76.94657893103361</v>
      </c>
      <c r="L5" s="72">
        <v>77.49136083785883</v>
      </c>
    </row>
    <row r="6" spans="1:12" ht="22.5">
      <c r="A6" s="68" t="s">
        <v>136</v>
      </c>
      <c r="B6" s="67">
        <v>16.592818778610415</v>
      </c>
      <c r="C6" s="72">
        <v>14.671350554773195</v>
      </c>
      <c r="D6" s="72">
        <v>12.85269514707451</v>
      </c>
      <c r="E6" s="72">
        <v>11.0279836334573</v>
      </c>
      <c r="F6" s="72">
        <v>9.197109990860156</v>
      </c>
      <c r="G6" s="72">
        <v>7.524116829744161</v>
      </c>
      <c r="H6" s="72">
        <v>6.253342586109265</v>
      </c>
      <c r="I6" s="72">
        <v>5.333291803527116</v>
      </c>
      <c r="J6" s="72">
        <v>4.692532508278634</v>
      </c>
      <c r="K6" s="72">
        <v>4.227954808387874</v>
      </c>
      <c r="L6" s="72">
        <v>3.8784918822458976</v>
      </c>
    </row>
    <row r="7" spans="1:12" ht="33.75">
      <c r="A7" s="65" t="s">
        <v>148</v>
      </c>
      <c r="B7" s="67">
        <v>489.23040000000003</v>
      </c>
      <c r="C7" s="72">
        <v>226.87772318033475</v>
      </c>
      <c r="D7" s="72">
        <v>156.3804809001168</v>
      </c>
      <c r="E7" s="72">
        <v>135.77163504253707</v>
      </c>
      <c r="F7" s="72">
        <v>127.79042135028445</v>
      </c>
      <c r="G7" s="72">
        <v>123.1257308066512</v>
      </c>
      <c r="H7" s="72">
        <v>119.52286065338265</v>
      </c>
      <c r="I7" s="72">
        <v>116.41915394355333</v>
      </c>
      <c r="J7" s="72">
        <v>1113.54928649837</v>
      </c>
      <c r="K7" s="72">
        <v>1110.7717777415</v>
      </c>
      <c r="L7" s="72">
        <v>108.10926486908083</v>
      </c>
    </row>
    <row r="8" spans="1:12" ht="33.75">
      <c r="A8" s="65" t="s">
        <v>147</v>
      </c>
      <c r="B8" s="69">
        <v>1.4987171392666727</v>
      </c>
      <c r="C8" s="73">
        <v>0.817285878454529</v>
      </c>
      <c r="D8" s="73">
        <v>0.5277491776515127</v>
      </c>
      <c r="E8" s="73">
        <v>0.4073970306250212</v>
      </c>
      <c r="F8" s="73">
        <v>0.364407056441432</v>
      </c>
      <c r="G8" s="73">
        <v>0.3566519018881572</v>
      </c>
      <c r="H8" s="73">
        <v>0.3566283464447222</v>
      </c>
      <c r="I8" s="73">
        <v>0.3566283464447222</v>
      </c>
      <c r="J8" s="73">
        <v>0.3566283464447222</v>
      </c>
      <c r="K8" s="73">
        <v>0.3566283464447222</v>
      </c>
      <c r="L8" s="73">
        <v>0.3566283464447222</v>
      </c>
    </row>
    <row r="9" ht="12.75"/>
    <row r="11" spans="2:12" ht="12" customHeight="1"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2:12" ht="12.75" customHeight="1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2:13" ht="12.75">
      <c r="B13" s="67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66"/>
    </row>
    <row r="14" spans="1:13" ht="30" customHeight="1">
      <c r="A14" s="94" t="s">
        <v>163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66"/>
    </row>
    <row r="15" spans="1:13" ht="30.75" customHeight="1">
      <c r="A15" s="96" t="s">
        <v>149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66"/>
    </row>
    <row r="16" spans="1:12" ht="48.75" customHeight="1">
      <c r="A16" s="96" t="s">
        <v>150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18" customHeight="1">
      <c r="A17" s="96" t="s">
        <v>151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34.5" customHeight="1">
      <c r="A18" s="96" t="s">
        <v>152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34.5" customHeight="1">
      <c r="A19" s="98" t="s">
        <v>162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48.75" customHeight="1">
      <c r="A20" s="96" t="s">
        <v>153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26.25" customHeight="1">
      <c r="A21" s="96" t="s">
        <v>154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53.25" customHeight="1">
      <c r="A22" s="96" t="s">
        <v>155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35.25" customHeight="1">
      <c r="A23" s="96" t="s">
        <v>156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24.75" customHeight="1">
      <c r="A24" s="96" t="s">
        <v>157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6.75" customHeight="1">
      <c r="A25" s="96" t="s">
        <v>158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36.75" customHeight="1">
      <c r="A26" s="96" t="s">
        <v>159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52.5" customHeight="1">
      <c r="A27" s="96" t="s">
        <v>160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22.5" customHeight="1">
      <c r="A28" s="99" t="s">
        <v>161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</sheetData>
  <sheetProtection password="CC57" sheet="1" objects="1" scenarios="1"/>
  <mergeCells count="15">
    <mergeCell ref="A26:L26"/>
    <mergeCell ref="A27:L27"/>
    <mergeCell ref="A28:L28"/>
    <mergeCell ref="A22:L22"/>
    <mergeCell ref="A23:L23"/>
    <mergeCell ref="A24:L24"/>
    <mergeCell ref="A25:L25"/>
    <mergeCell ref="A18:L18"/>
    <mergeCell ref="A19:L19"/>
    <mergeCell ref="A20:L20"/>
    <mergeCell ref="A21:L21"/>
    <mergeCell ref="A14:L14"/>
    <mergeCell ref="A15:L15"/>
    <mergeCell ref="A16:L16"/>
    <mergeCell ref="A17:L17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S71"/>
  <sheetViews>
    <sheetView workbookViewId="0" topLeftCell="A1">
      <selection activeCell="L4" sqref="L4:L70"/>
    </sheetView>
  </sheetViews>
  <sheetFormatPr defaultColWidth="9.140625" defaultRowHeight="12.75"/>
  <cols>
    <col min="1" max="1" width="16.57421875" style="64" customWidth="1"/>
    <col min="2" max="2" width="10.00390625" style="64" bestFit="1" customWidth="1"/>
    <col min="3" max="16384" width="9.140625" style="64" customWidth="1"/>
  </cols>
  <sheetData>
    <row r="1" ht="15.75">
      <c r="A1" s="84" t="s">
        <v>145</v>
      </c>
    </row>
    <row r="2" spans="1:12" ht="12.75">
      <c r="A2" s="76" t="s">
        <v>144</v>
      </c>
      <c r="B2" s="64">
        <v>2001</v>
      </c>
      <c r="C2" s="64">
        <v>2006</v>
      </c>
      <c r="D2" s="64">
        <v>2011</v>
      </c>
      <c r="E2" s="64">
        <v>2016</v>
      </c>
      <c r="F2" s="64">
        <v>2021</v>
      </c>
      <c r="G2" s="64">
        <v>2026</v>
      </c>
      <c r="H2" s="64">
        <v>2031</v>
      </c>
      <c r="I2" s="64">
        <v>2036</v>
      </c>
      <c r="J2" s="64">
        <v>2041</v>
      </c>
      <c r="K2" s="64">
        <v>2046</v>
      </c>
      <c r="L2" s="64">
        <v>2051</v>
      </c>
    </row>
    <row r="3" spans="1:2" ht="12.75">
      <c r="A3" s="77" t="s">
        <v>143</v>
      </c>
      <c r="B3" s="78"/>
    </row>
    <row r="4" spans="1:19" ht="12.75">
      <c r="A4" s="85" t="s">
        <v>98</v>
      </c>
      <c r="B4" s="86">
        <v>144819.099</v>
      </c>
      <c r="C4" s="87">
        <v>141654.9992916044</v>
      </c>
      <c r="D4" s="87">
        <v>138715.98138500028</v>
      </c>
      <c r="E4" s="87">
        <v>135181.22607446494</v>
      </c>
      <c r="F4" s="87">
        <v>130911.28228694349</v>
      </c>
      <c r="G4" s="87">
        <v>125831.58359758384</v>
      </c>
      <c r="H4" s="87">
        <v>120645.34491781716</v>
      </c>
      <c r="I4" s="87">
        <v>115191.57213998945</v>
      </c>
      <c r="J4" s="87">
        <v>114568.22686443565</v>
      </c>
      <c r="K4" s="87">
        <v>113793.69297473354</v>
      </c>
      <c r="L4" s="87">
        <v>108079.34683954409</v>
      </c>
      <c r="M4" s="67"/>
      <c r="N4" s="67"/>
      <c r="O4" s="67"/>
      <c r="P4" s="67"/>
      <c r="S4" s="78"/>
    </row>
    <row r="5" spans="1:19" ht="12.75">
      <c r="A5" s="80" t="s">
        <v>21</v>
      </c>
      <c r="B5" s="78">
        <v>6303.259</v>
      </c>
      <c r="C5" s="74">
        <v>6949.776486559927</v>
      </c>
      <c r="D5" s="74">
        <v>7479.329572893322</v>
      </c>
      <c r="E5" s="74">
        <v>7106.8946612628115</v>
      </c>
      <c r="F5" s="74">
        <v>6111.709146597301</v>
      </c>
      <c r="G5" s="74">
        <v>5246.2339326206065</v>
      </c>
      <c r="H5" s="74">
        <v>4884.694947205644</v>
      </c>
      <c r="I5" s="74">
        <v>4812.594247696807</v>
      </c>
      <c r="J5" s="74">
        <v>4950.653555556504</v>
      </c>
      <c r="K5" s="74">
        <v>4874.57249282923</v>
      </c>
      <c r="L5" s="74">
        <v>4418.664130741396</v>
      </c>
      <c r="M5" s="67"/>
      <c r="N5" s="67"/>
      <c r="O5" s="67"/>
      <c r="P5" s="67"/>
      <c r="S5" s="78"/>
    </row>
    <row r="6" spans="1:19" ht="12.75">
      <c r="A6" s="88" t="s">
        <v>33</v>
      </c>
      <c r="B6" s="86">
        <v>7639.114</v>
      </c>
      <c r="C6" s="87">
        <v>6318.197167473263</v>
      </c>
      <c r="D6" s="87">
        <v>6951.547912732611</v>
      </c>
      <c r="E6" s="87">
        <v>7483.56539693218</v>
      </c>
      <c r="F6" s="87">
        <v>7116.314021518876</v>
      </c>
      <c r="G6" s="87">
        <v>6124.414613191138</v>
      </c>
      <c r="H6" s="87">
        <v>5259.717776346828</v>
      </c>
      <c r="I6" s="87">
        <v>4897.615505344618</v>
      </c>
      <c r="J6" s="87">
        <v>5136.217296444196</v>
      </c>
      <c r="K6" s="87">
        <v>5279.494263949618</v>
      </c>
      <c r="L6" s="87">
        <v>4892.558515638674</v>
      </c>
      <c r="M6" s="67"/>
      <c r="N6" s="67"/>
      <c r="O6" s="67"/>
      <c r="P6" s="67"/>
      <c r="S6" s="78"/>
    </row>
    <row r="7" spans="1:19" ht="12.75">
      <c r="A7" s="81" t="s">
        <v>37</v>
      </c>
      <c r="B7" s="78">
        <v>11523.877</v>
      </c>
      <c r="C7" s="74">
        <v>7669.595632606204</v>
      </c>
      <c r="D7" s="74">
        <v>6329.343121923039</v>
      </c>
      <c r="E7" s="74">
        <v>6958.377372006532</v>
      </c>
      <c r="F7" s="74">
        <v>7492.477508674956</v>
      </c>
      <c r="G7" s="74">
        <v>7128.244088766733</v>
      </c>
      <c r="H7" s="74">
        <v>6138.18476089608</v>
      </c>
      <c r="I7" s="74">
        <v>5273.03023853312</v>
      </c>
      <c r="J7" s="74">
        <v>5236.455436835844</v>
      </c>
      <c r="K7" s="74">
        <v>5482.609984085226</v>
      </c>
      <c r="L7" s="74">
        <v>5300.366747295422</v>
      </c>
      <c r="M7" s="67"/>
      <c r="N7" s="67"/>
      <c r="O7" s="67"/>
      <c r="P7" s="67"/>
      <c r="S7" s="78"/>
    </row>
    <row r="8" spans="1:19" ht="12.75">
      <c r="A8" s="88" t="s">
        <v>38</v>
      </c>
      <c r="B8" s="86">
        <v>11945.733</v>
      </c>
      <c r="C8" s="87">
        <v>11507.845563040128</v>
      </c>
      <c r="D8" s="87">
        <v>7664.129345848209</v>
      </c>
      <c r="E8" s="87">
        <v>6320.245466716681</v>
      </c>
      <c r="F8" s="87">
        <v>6945.7976364319165</v>
      </c>
      <c r="G8" s="87">
        <v>7481.491818790984</v>
      </c>
      <c r="H8" s="87">
        <v>7122.467489766121</v>
      </c>
      <c r="I8" s="87">
        <v>6136.964857938432</v>
      </c>
      <c r="J8" s="87">
        <v>5598.279125166304</v>
      </c>
      <c r="K8" s="87">
        <v>5569.952860016192</v>
      </c>
      <c r="L8" s="87">
        <v>5494.231385681747</v>
      </c>
      <c r="M8" s="67"/>
      <c r="N8" s="67"/>
      <c r="O8" s="67"/>
      <c r="P8" s="67"/>
      <c r="S8" s="78"/>
    </row>
    <row r="9" spans="1:19" ht="12.75">
      <c r="A9" s="81" t="s">
        <v>39</v>
      </c>
      <c r="B9" s="78">
        <v>10848.502</v>
      </c>
      <c r="C9" s="74">
        <v>11861.220875028503</v>
      </c>
      <c r="D9" s="74">
        <v>11432.358309493844</v>
      </c>
      <c r="E9" s="74">
        <v>7626.822923825154</v>
      </c>
      <c r="F9" s="74">
        <v>6286.997625397113</v>
      </c>
      <c r="G9" s="74">
        <v>6906.564110959504</v>
      </c>
      <c r="H9" s="74">
        <v>7444.909801931422</v>
      </c>
      <c r="I9" s="74">
        <v>7095.402350609294</v>
      </c>
      <c r="J9" s="74">
        <v>6511.683108034311</v>
      </c>
      <c r="K9" s="74">
        <v>5980.678645904407</v>
      </c>
      <c r="L9" s="74">
        <v>5564.470254219355</v>
      </c>
      <c r="M9" s="67"/>
      <c r="N9" s="67"/>
      <c r="O9" s="67"/>
      <c r="P9" s="67"/>
      <c r="S9" s="78"/>
    </row>
    <row r="10" spans="1:19" ht="12.75">
      <c r="A10" s="88" t="s">
        <v>40</v>
      </c>
      <c r="B10" s="86">
        <v>10316.045</v>
      </c>
      <c r="C10" s="87">
        <v>10739.239055349799</v>
      </c>
      <c r="D10" s="87">
        <v>11740.0890984487</v>
      </c>
      <c r="E10" s="87">
        <v>11323.454857785262</v>
      </c>
      <c r="F10" s="87">
        <v>7571.615870778618</v>
      </c>
      <c r="G10" s="87">
        <v>6240.68047814678</v>
      </c>
      <c r="H10" s="87">
        <v>6854.961807043606</v>
      </c>
      <c r="I10" s="87">
        <v>7396.474727337677</v>
      </c>
      <c r="J10" s="87">
        <v>7524.18326651847</v>
      </c>
      <c r="K10" s="87">
        <v>6949.765316426161</v>
      </c>
      <c r="L10" s="87">
        <v>5960.033603802134</v>
      </c>
      <c r="M10" s="67"/>
      <c r="N10" s="67"/>
      <c r="O10" s="67"/>
      <c r="P10" s="67"/>
      <c r="S10" s="78"/>
    </row>
    <row r="11" spans="1:19" ht="12.75">
      <c r="A11" s="81" t="s">
        <v>41</v>
      </c>
      <c r="B11" s="78">
        <v>9487.228</v>
      </c>
      <c r="C11" s="74">
        <v>10180.496254574318</v>
      </c>
      <c r="D11" s="74">
        <v>10603.045015049913</v>
      </c>
      <c r="E11" s="74">
        <v>11592.648876143552</v>
      </c>
      <c r="F11" s="74">
        <v>11195.354721771691</v>
      </c>
      <c r="G11" s="74">
        <v>7503.902934732434</v>
      </c>
      <c r="H11" s="74">
        <v>6186.2829354901005</v>
      </c>
      <c r="I11" s="74">
        <v>6795.335737612887</v>
      </c>
      <c r="J11" s="74">
        <v>7785.202033075788</v>
      </c>
      <c r="K11" s="74">
        <v>7919.419428135285</v>
      </c>
      <c r="L11" s="74">
        <v>6907.315434361588</v>
      </c>
      <c r="M11" s="67"/>
      <c r="N11" s="67"/>
      <c r="O11" s="67"/>
      <c r="P11" s="67"/>
      <c r="S11" s="78"/>
    </row>
    <row r="12" spans="1:19" ht="12.75">
      <c r="A12" s="88" t="s">
        <v>42</v>
      </c>
      <c r="B12" s="86">
        <v>11229.825</v>
      </c>
      <c r="C12" s="87">
        <v>9327.42713836767</v>
      </c>
      <c r="D12" s="87">
        <v>10002.184854218143</v>
      </c>
      <c r="E12" s="87">
        <v>10423.37250399614</v>
      </c>
      <c r="F12" s="87">
        <v>11406.928217724046</v>
      </c>
      <c r="G12" s="87">
        <v>11031.58977311214</v>
      </c>
      <c r="H12" s="87">
        <v>7413.189981213628</v>
      </c>
      <c r="I12" s="87">
        <v>6114.274083094607</v>
      </c>
      <c r="J12" s="87">
        <v>7096.428877146725</v>
      </c>
      <c r="K12" s="87">
        <v>8083.138856725754</v>
      </c>
      <c r="L12" s="87">
        <v>7841.418214845928</v>
      </c>
      <c r="M12" s="67"/>
      <c r="N12" s="67"/>
      <c r="O12" s="67"/>
      <c r="P12" s="67"/>
      <c r="S12" s="78"/>
    </row>
    <row r="13" spans="1:19" ht="12.75">
      <c r="A13" s="81" t="s">
        <v>43</v>
      </c>
      <c r="B13" s="78">
        <v>12589.305</v>
      </c>
      <c r="C13" s="74">
        <v>10940.588538146405</v>
      </c>
      <c r="D13" s="74">
        <v>9093.08473591275</v>
      </c>
      <c r="E13" s="74">
        <v>9750.762482642094</v>
      </c>
      <c r="F13" s="74">
        <v>10177.84583988789</v>
      </c>
      <c r="G13" s="74">
        <v>11152.192035139222</v>
      </c>
      <c r="H13" s="74">
        <v>10803.390412689052</v>
      </c>
      <c r="I13" s="74">
        <v>7277.415020016637</v>
      </c>
      <c r="J13" s="74">
        <v>6332.088170081318</v>
      </c>
      <c r="K13" s="74">
        <v>7303.02298199086</v>
      </c>
      <c r="L13" s="74">
        <v>7957.920422668427</v>
      </c>
      <c r="M13" s="67"/>
      <c r="N13" s="67"/>
      <c r="O13" s="67"/>
      <c r="P13" s="67"/>
      <c r="S13" s="78"/>
    </row>
    <row r="14" spans="1:19" ht="12.75">
      <c r="A14" s="88" t="s">
        <v>44</v>
      </c>
      <c r="B14" s="86">
        <v>11500.639</v>
      </c>
      <c r="C14" s="87">
        <v>12098.209974844885</v>
      </c>
      <c r="D14" s="87">
        <v>10533.82564323421</v>
      </c>
      <c r="E14" s="87">
        <v>8757.922221270448</v>
      </c>
      <c r="F14" s="87">
        <v>9404.735358954116</v>
      </c>
      <c r="G14" s="87">
        <v>9836.834392812561</v>
      </c>
      <c r="H14" s="87">
        <v>10797.016436630123</v>
      </c>
      <c r="I14" s="87">
        <v>10479.979911245302</v>
      </c>
      <c r="J14" s="87">
        <v>7361.053446071201</v>
      </c>
      <c r="K14" s="87">
        <v>6445.553001643857</v>
      </c>
      <c r="L14" s="87">
        <v>7121.389770414795</v>
      </c>
      <c r="M14" s="67"/>
      <c r="N14" s="67"/>
      <c r="O14" s="67"/>
      <c r="P14" s="67"/>
      <c r="S14" s="78"/>
    </row>
    <row r="15" spans="1:19" ht="12.75">
      <c r="A15" s="81" t="s">
        <v>45</v>
      </c>
      <c r="B15" s="78">
        <v>9385.217</v>
      </c>
      <c r="C15" s="74">
        <v>10856.844667599871</v>
      </c>
      <c r="D15" s="74">
        <v>11447.525730774116</v>
      </c>
      <c r="E15" s="74">
        <v>9976.331926627836</v>
      </c>
      <c r="F15" s="74">
        <v>8308.828288269906</v>
      </c>
      <c r="G15" s="74">
        <v>8940.545137394081</v>
      </c>
      <c r="H15" s="74">
        <v>9376.463414077069</v>
      </c>
      <c r="I15" s="74">
        <v>10313.941416448484</v>
      </c>
      <c r="J15" s="74">
        <v>10289.848069789608</v>
      </c>
      <c r="K15" s="74">
        <v>7317.151798841972</v>
      </c>
      <c r="L15" s="74">
        <v>6196.786225086336</v>
      </c>
      <c r="M15" s="67"/>
      <c r="N15" s="67"/>
      <c r="O15" s="67"/>
      <c r="P15" s="67"/>
      <c r="S15" s="78"/>
    </row>
    <row r="16" spans="1:19" ht="12.75">
      <c r="A16" s="88" t="s">
        <v>46</v>
      </c>
      <c r="B16" s="86">
        <v>4955.17</v>
      </c>
      <c r="C16" s="87">
        <v>8666.21671161407</v>
      </c>
      <c r="D16" s="87">
        <v>10061.500463610817</v>
      </c>
      <c r="E16" s="87">
        <v>10619.291324350046</v>
      </c>
      <c r="F16" s="87">
        <v>9281.159674021907</v>
      </c>
      <c r="G16" s="87">
        <v>7746.852628891096</v>
      </c>
      <c r="H16" s="87">
        <v>8355.299494959281</v>
      </c>
      <c r="I16" s="87">
        <v>8792.613171331514</v>
      </c>
      <c r="J16" s="87">
        <v>9930.991931567936</v>
      </c>
      <c r="K16" s="87">
        <v>9917.180138293217</v>
      </c>
      <c r="L16" s="87">
        <v>6903.83171090941</v>
      </c>
      <c r="M16" s="67"/>
      <c r="N16" s="67"/>
      <c r="O16" s="67"/>
      <c r="P16" s="67"/>
      <c r="S16" s="78"/>
    </row>
    <row r="17" spans="1:19" ht="12.75">
      <c r="A17" s="81" t="s">
        <v>47</v>
      </c>
      <c r="B17" s="78">
        <v>8807.929</v>
      </c>
      <c r="C17" s="74">
        <v>4469.790597458379</v>
      </c>
      <c r="D17" s="74">
        <v>7798.308461241519</v>
      </c>
      <c r="E17" s="74">
        <v>9067.872358076947</v>
      </c>
      <c r="F17" s="74">
        <v>9599.907533048363</v>
      </c>
      <c r="G17" s="74">
        <v>8417.014052857085</v>
      </c>
      <c r="H17" s="74">
        <v>7044.872753202403</v>
      </c>
      <c r="I17" s="74">
        <v>7624.3202487797735</v>
      </c>
      <c r="J17" s="74">
        <v>8269.212897788579</v>
      </c>
      <c r="K17" s="74">
        <v>9322.521208730563</v>
      </c>
      <c r="L17" s="74">
        <v>9122.06824989694</v>
      </c>
      <c r="M17" s="67"/>
      <c r="N17" s="67"/>
      <c r="O17" s="67"/>
      <c r="P17" s="67"/>
      <c r="S17" s="78"/>
    </row>
    <row r="18" spans="1:19" ht="12.75">
      <c r="A18" s="88" t="s">
        <v>48</v>
      </c>
      <c r="B18" s="86">
        <v>5865.692</v>
      </c>
      <c r="C18" s="87">
        <v>7563.972942893253</v>
      </c>
      <c r="D18" s="87">
        <v>3861.791488039228</v>
      </c>
      <c r="E18" s="87">
        <v>6720.118537526748</v>
      </c>
      <c r="F18" s="87">
        <v>7848.773684974996</v>
      </c>
      <c r="G18" s="87">
        <v>8342.009682014539</v>
      </c>
      <c r="H18" s="87">
        <v>7344.757276316055</v>
      </c>
      <c r="I18" s="87">
        <v>6168.906955221872</v>
      </c>
      <c r="J18" s="87">
        <v>6895.9017653285155</v>
      </c>
      <c r="K18" s="87">
        <v>7496.489957732409</v>
      </c>
      <c r="L18" s="87">
        <v>8267.41877145279</v>
      </c>
      <c r="M18" s="67"/>
      <c r="N18" s="67"/>
      <c r="O18" s="67"/>
      <c r="P18" s="67"/>
      <c r="S18" s="78"/>
    </row>
    <row r="19" spans="1:19" ht="12.75">
      <c r="A19" s="81" t="s">
        <v>49</v>
      </c>
      <c r="B19" s="78">
        <v>6175.773999999999</v>
      </c>
      <c r="C19" s="74">
        <v>4729.655748734627</v>
      </c>
      <c r="D19" s="74">
        <v>6121.144367770548</v>
      </c>
      <c r="E19" s="74">
        <v>3136.0079168553502</v>
      </c>
      <c r="F19" s="74">
        <v>5466.606445943727</v>
      </c>
      <c r="G19" s="74">
        <v>6420.25887690075</v>
      </c>
      <c r="H19" s="74">
        <v>6860.6690975043075</v>
      </c>
      <c r="I19" s="74">
        <v>6073.983926236604</v>
      </c>
      <c r="J19" s="74">
        <v>5292.910964265282</v>
      </c>
      <c r="K19" s="74">
        <v>5929.666940177898</v>
      </c>
      <c r="L19" s="74">
        <v>6305.655549219415</v>
      </c>
      <c r="M19" s="67"/>
      <c r="N19" s="67"/>
      <c r="O19" s="67"/>
      <c r="P19" s="67"/>
      <c r="S19" s="78"/>
    </row>
    <row r="20" spans="1:19" ht="12.75">
      <c r="A20" s="88" t="s">
        <v>50</v>
      </c>
      <c r="B20" s="86">
        <v>3386.1130000000003</v>
      </c>
      <c r="C20" s="87">
        <v>4523.760258104516</v>
      </c>
      <c r="D20" s="87">
        <v>3480.2114407557897</v>
      </c>
      <c r="E20" s="87">
        <v>4512.935382063534</v>
      </c>
      <c r="F20" s="87">
        <v>2330.9860862902397</v>
      </c>
      <c r="G20" s="87">
        <v>4078.839290479652</v>
      </c>
      <c r="H20" s="87">
        <v>4827.370889319675</v>
      </c>
      <c r="I20" s="87">
        <v>5197.829907967691</v>
      </c>
      <c r="J20" s="87">
        <v>4772.9296485104005</v>
      </c>
      <c r="K20" s="87">
        <v>4204.076619994428</v>
      </c>
      <c r="L20" s="87">
        <v>4596.250161143139</v>
      </c>
      <c r="M20" s="67"/>
      <c r="N20" s="67"/>
      <c r="O20" s="67"/>
      <c r="P20" s="67"/>
      <c r="S20" s="78"/>
    </row>
    <row r="21" spans="1:19" ht="12.75">
      <c r="A21" s="81" t="s">
        <v>65</v>
      </c>
      <c r="B21" s="78">
        <v>1501.308</v>
      </c>
      <c r="C21" s="74">
        <v>2131.7979827550243</v>
      </c>
      <c r="D21" s="74">
        <v>2837.3375020676112</v>
      </c>
      <c r="E21" s="74">
        <v>2187.151930367818</v>
      </c>
      <c r="F21" s="74">
        <v>2859.3135950384085</v>
      </c>
      <c r="G21" s="74">
        <v>1492.6425808700023</v>
      </c>
      <c r="H21" s="74">
        <v>2627.9981088774284</v>
      </c>
      <c r="I21" s="74">
        <v>3143.2719150913777</v>
      </c>
      <c r="J21" s="74">
        <v>3514.226822572311</v>
      </c>
      <c r="K21" s="74">
        <v>3267.4239169704783</v>
      </c>
      <c r="L21" s="74">
        <v>2820.980718828762</v>
      </c>
      <c r="M21" s="67"/>
      <c r="N21" s="67"/>
      <c r="O21" s="67"/>
      <c r="P21" s="67"/>
      <c r="S21" s="78"/>
    </row>
    <row r="22" spans="1:19" ht="12.75">
      <c r="A22" s="88" t="s">
        <v>66</v>
      </c>
      <c r="B22" s="86">
        <v>1358.369</v>
      </c>
      <c r="C22" s="87">
        <v>1120.3636964535979</v>
      </c>
      <c r="D22" s="87">
        <v>1279.2243209859396</v>
      </c>
      <c r="E22" s="87">
        <v>1617.4499360157904</v>
      </c>
      <c r="F22" s="87">
        <v>1505.9310316194262</v>
      </c>
      <c r="G22" s="87">
        <v>1741.273169904533</v>
      </c>
      <c r="H22" s="87">
        <v>1303.097534348349</v>
      </c>
      <c r="I22" s="87">
        <v>1597.6179194827616</v>
      </c>
      <c r="J22" s="87">
        <v>2069.9604496823795</v>
      </c>
      <c r="K22" s="87">
        <v>2450.9745622859723</v>
      </c>
      <c r="L22" s="87">
        <v>2407.9869733378127</v>
      </c>
      <c r="M22" s="67"/>
      <c r="N22" s="67"/>
      <c r="O22" s="67"/>
      <c r="P22" s="67"/>
      <c r="S22" s="78"/>
    </row>
    <row r="23" spans="2:16" ht="12.75">
      <c r="B23" s="70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67"/>
      <c r="N23" s="67"/>
      <c r="O23" s="67"/>
      <c r="P23" s="67"/>
    </row>
    <row r="24" spans="1:19" ht="12.75">
      <c r="A24" s="77" t="s">
        <v>57</v>
      </c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67"/>
      <c r="N24" s="67"/>
      <c r="O24" s="67"/>
      <c r="P24" s="67"/>
      <c r="S24" s="78"/>
    </row>
    <row r="25" spans="1:19" ht="12.75">
      <c r="A25" s="85" t="s">
        <v>98</v>
      </c>
      <c r="B25" s="86">
        <v>67779.645</v>
      </c>
      <c r="C25" s="87">
        <v>66011.33484852573</v>
      </c>
      <c r="D25" s="87">
        <v>64489.77341184164</v>
      </c>
      <c r="E25" s="87">
        <v>62681.60773619903</v>
      </c>
      <c r="F25" s="87">
        <v>60441.31699301112</v>
      </c>
      <c r="G25" s="87">
        <v>57806.99309876988</v>
      </c>
      <c r="H25" s="87">
        <v>55095.60402198755</v>
      </c>
      <c r="I25" s="87">
        <v>52397.37222800734</v>
      </c>
      <c r="J25" s="87">
        <v>52223.899107819714</v>
      </c>
      <c r="K25" s="87">
        <v>52019.62261226388</v>
      </c>
      <c r="L25" s="87">
        <v>49326.118871637664</v>
      </c>
      <c r="M25" s="67"/>
      <c r="N25" s="67"/>
      <c r="O25" s="67"/>
      <c r="P25" s="67"/>
      <c r="S25" s="78"/>
    </row>
    <row r="26" spans="1:19" ht="12.75">
      <c r="A26" s="80" t="s">
        <v>21</v>
      </c>
      <c r="B26" s="78">
        <v>3237.075</v>
      </c>
      <c r="C26" s="74">
        <v>3579.7874641023886</v>
      </c>
      <c r="D26" s="74">
        <v>3853.5538970849625</v>
      </c>
      <c r="E26" s="74">
        <v>3662.488878583597</v>
      </c>
      <c r="F26" s="74">
        <v>3150.3097603448996</v>
      </c>
      <c r="G26" s="74">
        <v>2704.7130626706166</v>
      </c>
      <c r="H26" s="74">
        <v>2518.671096935348</v>
      </c>
      <c r="I26" s="74">
        <v>2481.7351892747506</v>
      </c>
      <c r="J26" s="74">
        <v>2552.2814147396734</v>
      </c>
      <c r="K26" s="74">
        <v>2513.059260960588</v>
      </c>
      <c r="L26" s="74">
        <v>2278.823554794147</v>
      </c>
      <c r="M26" s="67"/>
      <c r="N26" s="67"/>
      <c r="O26" s="67"/>
      <c r="P26" s="67"/>
      <c r="S26" s="78"/>
    </row>
    <row r="27" spans="1:19" ht="12.75">
      <c r="A27" s="88" t="s">
        <v>33</v>
      </c>
      <c r="B27" s="86">
        <v>3916.059</v>
      </c>
      <c r="C27" s="87">
        <v>3243.376922170958</v>
      </c>
      <c r="D27" s="87">
        <v>3579.6048401242824</v>
      </c>
      <c r="E27" s="87">
        <v>3854.863370481901</v>
      </c>
      <c r="F27" s="87">
        <v>3666.745175395275</v>
      </c>
      <c r="G27" s="87">
        <v>3156.5079556278865</v>
      </c>
      <c r="H27" s="87">
        <v>2711.4568379758143</v>
      </c>
      <c r="I27" s="87">
        <v>2525.192371967428</v>
      </c>
      <c r="J27" s="87">
        <v>2647.0490592565843</v>
      </c>
      <c r="K27" s="87">
        <v>2720.103192739868</v>
      </c>
      <c r="L27" s="87">
        <v>2522.0529253822133</v>
      </c>
      <c r="M27" s="67"/>
      <c r="N27" s="67"/>
      <c r="O27" s="67"/>
      <c r="P27" s="67"/>
      <c r="S27" s="78"/>
    </row>
    <row r="28" spans="1:19" ht="12.75">
      <c r="A28" s="81" t="s">
        <v>37</v>
      </c>
      <c r="B28" s="78">
        <v>5883.668</v>
      </c>
      <c r="C28" s="74">
        <v>3929.2301909369935</v>
      </c>
      <c r="D28" s="74">
        <v>3247.4197676536405</v>
      </c>
      <c r="E28" s="74">
        <v>3581.3574413714855</v>
      </c>
      <c r="F28" s="74">
        <v>3857.6990485915753</v>
      </c>
      <c r="G28" s="74">
        <v>3671.3453301905824</v>
      </c>
      <c r="H28" s="74">
        <v>3162.3709131705286</v>
      </c>
      <c r="I28" s="74">
        <v>2717.3305540727943</v>
      </c>
      <c r="J28" s="74">
        <v>2697.7869207704316</v>
      </c>
      <c r="K28" s="74">
        <v>2823.3510800472513</v>
      </c>
      <c r="L28" s="74">
        <v>2729.8204523612976</v>
      </c>
      <c r="M28" s="67"/>
      <c r="N28" s="67"/>
      <c r="O28" s="67"/>
      <c r="P28" s="67"/>
      <c r="S28" s="78"/>
    </row>
    <row r="29" spans="1:19" ht="12.75">
      <c r="A29" s="88" t="s">
        <v>38</v>
      </c>
      <c r="B29" s="86">
        <v>6061.805</v>
      </c>
      <c r="C29" s="87">
        <v>5863.6105300227855</v>
      </c>
      <c r="D29" s="87">
        <v>3919.426131044904</v>
      </c>
      <c r="E29" s="87">
        <v>3237.196670878867</v>
      </c>
      <c r="F29" s="87">
        <v>3569.028661091718</v>
      </c>
      <c r="G29" s="87">
        <v>3845.993877688471</v>
      </c>
      <c r="H29" s="87">
        <v>3662.832440094556</v>
      </c>
      <c r="I29" s="87">
        <v>3157.1696238888776</v>
      </c>
      <c r="J29" s="87">
        <v>2879.6639087738636</v>
      </c>
      <c r="K29" s="87">
        <v>2864.5269004656116</v>
      </c>
      <c r="L29" s="87">
        <v>2825.7674170811515</v>
      </c>
      <c r="M29" s="67"/>
      <c r="N29" s="67"/>
      <c r="O29" s="67"/>
      <c r="P29" s="67"/>
      <c r="S29" s="78"/>
    </row>
    <row r="30" spans="1:19" ht="12.75">
      <c r="A30" s="81" t="s">
        <v>39</v>
      </c>
      <c r="B30" s="78">
        <v>5471.016</v>
      </c>
      <c r="C30" s="74">
        <v>5985.551152065488</v>
      </c>
      <c r="D30" s="74">
        <v>5796.044642885559</v>
      </c>
      <c r="E30" s="74">
        <v>3881.5836484878537</v>
      </c>
      <c r="F30" s="74">
        <v>3205.2468685691015</v>
      </c>
      <c r="G30" s="74">
        <v>3533.0578758627544</v>
      </c>
      <c r="H30" s="74">
        <v>3811.0360592356515</v>
      </c>
      <c r="I30" s="74">
        <v>3634.4182496139933</v>
      </c>
      <c r="J30" s="74">
        <v>3337.2045107371705</v>
      </c>
      <c r="K30" s="74">
        <v>3064.919204404861</v>
      </c>
      <c r="L30" s="74">
        <v>2851.8675043999315</v>
      </c>
      <c r="M30" s="67"/>
      <c r="N30" s="67"/>
      <c r="O30" s="67"/>
      <c r="P30" s="67"/>
      <c r="S30" s="78"/>
    </row>
    <row r="31" spans="1:19" ht="12.75">
      <c r="A31" s="88" t="s">
        <v>40</v>
      </c>
      <c r="B31" s="86">
        <v>5242.487</v>
      </c>
      <c r="C31" s="87">
        <v>5370.847617608991</v>
      </c>
      <c r="D31" s="87">
        <v>5878.552058615238</v>
      </c>
      <c r="E31" s="87">
        <v>5697.533476970136</v>
      </c>
      <c r="F31" s="87">
        <v>3826.3630436047265</v>
      </c>
      <c r="G31" s="87">
        <v>3160.1590859046596</v>
      </c>
      <c r="H31" s="87">
        <v>3484.029606264465</v>
      </c>
      <c r="I31" s="87">
        <v>3763.299740686617</v>
      </c>
      <c r="J31" s="87">
        <v>3835.678195457226</v>
      </c>
      <c r="K31" s="87">
        <v>3544.919919658794</v>
      </c>
      <c r="L31" s="87">
        <v>3038.0839873407053</v>
      </c>
      <c r="M31" s="67"/>
      <c r="N31" s="67"/>
      <c r="O31" s="67"/>
      <c r="P31" s="67"/>
      <c r="S31" s="78"/>
    </row>
    <row r="32" spans="1:19" ht="12.75">
      <c r="A32" s="81" t="s">
        <v>41</v>
      </c>
      <c r="B32" s="78">
        <v>4834.015</v>
      </c>
      <c r="C32" s="74">
        <v>5120.712172124333</v>
      </c>
      <c r="D32" s="74">
        <v>5252.418643676441</v>
      </c>
      <c r="E32" s="74">
        <v>5750.427383620539</v>
      </c>
      <c r="F32" s="74">
        <v>5583.142169581108</v>
      </c>
      <c r="G32" s="74">
        <v>3760.8160108377233</v>
      </c>
      <c r="H32" s="74">
        <v>3108.010560342593</v>
      </c>
      <c r="I32" s="74">
        <v>3427.9525953525786</v>
      </c>
      <c r="J32" s="74">
        <v>3940.467595712637</v>
      </c>
      <c r="K32" s="74">
        <v>4015.951881562543</v>
      </c>
      <c r="L32" s="74">
        <v>3500.301023909004</v>
      </c>
      <c r="M32" s="67"/>
      <c r="N32" s="67"/>
      <c r="O32" s="67"/>
      <c r="P32" s="67"/>
      <c r="S32" s="78"/>
    </row>
    <row r="33" spans="1:19" ht="12.75">
      <c r="A33" s="88" t="s">
        <v>42</v>
      </c>
      <c r="B33" s="86">
        <v>5587.291</v>
      </c>
      <c r="C33" s="87">
        <v>4689.714995993923</v>
      </c>
      <c r="D33" s="87">
        <v>4969.561082107961</v>
      </c>
      <c r="E33" s="87">
        <v>5100.8754096773355</v>
      </c>
      <c r="F33" s="87">
        <v>5592.549337564531</v>
      </c>
      <c r="G33" s="87">
        <v>5440.9156653872915</v>
      </c>
      <c r="H33" s="87">
        <v>3677.161511100922</v>
      </c>
      <c r="I33" s="87">
        <v>3041.902437132378</v>
      </c>
      <c r="J33" s="87">
        <v>3554.9608822133036</v>
      </c>
      <c r="K33" s="87">
        <v>4062.3512202728375</v>
      </c>
      <c r="L33" s="87">
        <v>3942.942823376071</v>
      </c>
      <c r="M33" s="67"/>
      <c r="N33" s="67"/>
      <c r="O33" s="67"/>
      <c r="P33" s="67"/>
      <c r="S33" s="78"/>
    </row>
    <row r="34" spans="1:19" ht="12.75">
      <c r="A34" s="81" t="s">
        <v>43</v>
      </c>
      <c r="B34" s="78">
        <v>6145.435</v>
      </c>
      <c r="C34" s="74">
        <v>5344.242005460258</v>
      </c>
      <c r="D34" s="74">
        <v>4496.4236258078645</v>
      </c>
      <c r="E34" s="74">
        <v>4765.4887734345375</v>
      </c>
      <c r="F34" s="74">
        <v>4901.518113374535</v>
      </c>
      <c r="G34" s="74">
        <v>5384.281953381145</v>
      </c>
      <c r="H34" s="74">
        <v>5251.325044064741</v>
      </c>
      <c r="I34" s="74">
        <v>3560.7142193040986</v>
      </c>
      <c r="J34" s="74">
        <v>3117.810283394429</v>
      </c>
      <c r="K34" s="74">
        <v>3620.4320713308744</v>
      </c>
      <c r="L34" s="74">
        <v>3952.8875296669466</v>
      </c>
      <c r="M34" s="67"/>
      <c r="N34" s="67"/>
      <c r="O34" s="67"/>
      <c r="P34" s="67"/>
      <c r="S34" s="78"/>
    </row>
    <row r="35" spans="1:19" ht="12.75">
      <c r="A35" s="88" t="s">
        <v>44</v>
      </c>
      <c r="B35" s="86">
        <v>5490.844</v>
      </c>
      <c r="C35" s="87">
        <v>5754.597703871604</v>
      </c>
      <c r="D35" s="87">
        <v>5024.57105029286</v>
      </c>
      <c r="E35" s="87">
        <v>4231.9483275577895</v>
      </c>
      <c r="F35" s="87">
        <v>4494.330994156182</v>
      </c>
      <c r="G35" s="87">
        <v>4634.595971182012</v>
      </c>
      <c r="H35" s="87">
        <v>5104.349962107948</v>
      </c>
      <c r="I35" s="87">
        <v>4993.218336024547</v>
      </c>
      <c r="J35" s="87">
        <v>3541.533590457539</v>
      </c>
      <c r="K35" s="87">
        <v>3123.9096130060857</v>
      </c>
      <c r="L35" s="87">
        <v>3471.0121915626473</v>
      </c>
      <c r="M35" s="67"/>
      <c r="N35" s="67"/>
      <c r="O35" s="67"/>
      <c r="P35" s="67"/>
      <c r="S35" s="78"/>
    </row>
    <row r="36" spans="1:19" ht="12.75">
      <c r="A36" s="81" t="s">
        <v>45</v>
      </c>
      <c r="B36" s="78">
        <v>4355.629</v>
      </c>
      <c r="C36" s="74">
        <v>4999.689477233082</v>
      </c>
      <c r="D36" s="74">
        <v>5265.356395836116</v>
      </c>
      <c r="E36" s="74">
        <v>4604.560565460702</v>
      </c>
      <c r="F36" s="74">
        <v>3890.0886464960713</v>
      </c>
      <c r="G36" s="74">
        <v>4142.575563912582</v>
      </c>
      <c r="H36" s="74">
        <v>4286.063090773724</v>
      </c>
      <c r="I36" s="74">
        <v>4736.024085608273</v>
      </c>
      <c r="J36" s="74">
        <v>4776.095882326509</v>
      </c>
      <c r="K36" s="74">
        <v>3436.0818915213076</v>
      </c>
      <c r="L36" s="74">
        <v>2929.158358801635</v>
      </c>
      <c r="M36" s="67"/>
      <c r="N36" s="67"/>
      <c r="O36" s="67"/>
      <c r="P36" s="67"/>
      <c r="S36" s="78"/>
    </row>
    <row r="37" spans="1:19" ht="12.75">
      <c r="A37" s="88" t="s">
        <v>46</v>
      </c>
      <c r="B37" s="86">
        <v>2165.087</v>
      </c>
      <c r="C37" s="87">
        <v>3828.0582742713227</v>
      </c>
      <c r="D37" s="87">
        <v>4422.534266276</v>
      </c>
      <c r="E37" s="87">
        <v>4664.922672763399</v>
      </c>
      <c r="F37" s="87">
        <v>4095.909858249438</v>
      </c>
      <c r="G37" s="87">
        <v>3473.3239656838705</v>
      </c>
      <c r="H37" s="87">
        <v>3710.5882058810025</v>
      </c>
      <c r="I37" s="87">
        <v>3854.934368613754</v>
      </c>
      <c r="J37" s="87">
        <v>4389.712274475189</v>
      </c>
      <c r="K37" s="87">
        <v>4438.959681430388</v>
      </c>
      <c r="L37" s="87">
        <v>3125.319655766849</v>
      </c>
      <c r="M37" s="67"/>
      <c r="N37" s="67"/>
      <c r="O37" s="67"/>
      <c r="P37" s="67"/>
      <c r="S37" s="78"/>
    </row>
    <row r="38" spans="1:19" ht="12.75">
      <c r="A38" s="81" t="s">
        <v>47</v>
      </c>
      <c r="B38" s="78">
        <v>3630.693</v>
      </c>
      <c r="C38" s="74">
        <v>1824.9204147222467</v>
      </c>
      <c r="D38" s="74">
        <v>3232.127687639762</v>
      </c>
      <c r="E38" s="74">
        <v>3741.8615507019135</v>
      </c>
      <c r="F38" s="74">
        <v>3963.347973094823</v>
      </c>
      <c r="G38" s="74">
        <v>3495.704780535722</v>
      </c>
      <c r="H38" s="74">
        <v>2978.143999111908</v>
      </c>
      <c r="I38" s="74">
        <v>3195.2865559278675</v>
      </c>
      <c r="J38" s="74">
        <v>3435.962338359949</v>
      </c>
      <c r="K38" s="74">
        <v>3911.3847784456207</v>
      </c>
      <c r="L38" s="74">
        <v>3871.8614574747558</v>
      </c>
      <c r="M38" s="67"/>
      <c r="N38" s="67"/>
      <c r="O38" s="67"/>
      <c r="P38" s="67"/>
      <c r="S38" s="78"/>
    </row>
    <row r="39" spans="1:19" ht="12.75">
      <c r="A39" s="88" t="s">
        <v>48</v>
      </c>
      <c r="B39" s="86">
        <v>2251.085</v>
      </c>
      <c r="C39" s="87">
        <v>2848.9091249485286</v>
      </c>
      <c r="D39" s="87">
        <v>1446.1067594576896</v>
      </c>
      <c r="E39" s="87">
        <v>2559.1681824101615</v>
      </c>
      <c r="F39" s="87">
        <v>2978.6932542610753</v>
      </c>
      <c r="G39" s="87">
        <v>3171.324159189094</v>
      </c>
      <c r="H39" s="87">
        <v>2813.3079811114435</v>
      </c>
      <c r="I39" s="87">
        <v>2410.6647441507866</v>
      </c>
      <c r="J39" s="87">
        <v>2687.0531237148984</v>
      </c>
      <c r="K39" s="87">
        <v>2900.1683952009253</v>
      </c>
      <c r="L39" s="87">
        <v>3220.8569562256</v>
      </c>
      <c r="M39" s="67"/>
      <c r="N39" s="67"/>
      <c r="O39" s="67"/>
      <c r="P39" s="67"/>
      <c r="S39" s="78"/>
    </row>
    <row r="40" spans="1:19" ht="12.75">
      <c r="A40" s="81" t="s">
        <v>49</v>
      </c>
      <c r="B40" s="78">
        <v>2083.752</v>
      </c>
      <c r="C40" s="74">
        <v>1621.189004390521</v>
      </c>
      <c r="D40" s="74">
        <v>2068.6346769017814</v>
      </c>
      <c r="E40" s="74">
        <v>1054.1614737560408</v>
      </c>
      <c r="F40" s="74">
        <v>1873.2488561950047</v>
      </c>
      <c r="G40" s="74">
        <v>2194.4473437976985</v>
      </c>
      <c r="H40" s="74">
        <v>2352.0317977243626</v>
      </c>
      <c r="I40" s="74">
        <v>2101.5697619152743</v>
      </c>
      <c r="J40" s="74">
        <v>1887.1095506943389</v>
      </c>
      <c r="K40" s="74">
        <v>2111.169572397978</v>
      </c>
      <c r="L40" s="74">
        <v>2216.1875329572117</v>
      </c>
      <c r="M40" s="67"/>
      <c r="N40" s="67"/>
      <c r="O40" s="67"/>
      <c r="P40" s="67"/>
      <c r="S40" s="78"/>
    </row>
    <row r="41" spans="1:19" ht="12.75">
      <c r="A41" s="88" t="s">
        <v>50</v>
      </c>
      <c r="B41" s="86">
        <v>831.215</v>
      </c>
      <c r="C41" s="87">
        <v>1340.9901572582903</v>
      </c>
      <c r="D41" s="87">
        <v>1056.10261619228</v>
      </c>
      <c r="E41" s="87">
        <v>1350.627578769792</v>
      </c>
      <c r="F41" s="87">
        <v>693.9951020704409</v>
      </c>
      <c r="G41" s="87">
        <v>1240.0204200921326</v>
      </c>
      <c r="H41" s="87">
        <v>1464.3763523501366</v>
      </c>
      <c r="I41" s="87">
        <v>1582.5582837234485</v>
      </c>
      <c r="J41" s="87">
        <v>1483.305230109547</v>
      </c>
      <c r="K41" s="87">
        <v>1351.174171220163</v>
      </c>
      <c r="L41" s="87">
        <v>1460.766942996295</v>
      </c>
      <c r="M41" s="67"/>
      <c r="N41" s="67"/>
      <c r="O41" s="67"/>
      <c r="P41" s="67"/>
      <c r="S41" s="78"/>
    </row>
    <row r="42" spans="1:19" ht="12.75">
      <c r="A42" s="81" t="s">
        <v>65</v>
      </c>
      <c r="B42" s="78">
        <v>328.978</v>
      </c>
      <c r="C42" s="74">
        <v>452.54367946123307</v>
      </c>
      <c r="D42" s="74">
        <v>739.0586941701175</v>
      </c>
      <c r="E42" s="74">
        <v>584.5512946068408</v>
      </c>
      <c r="F42" s="74">
        <v>752.7842659793642</v>
      </c>
      <c r="G42" s="74">
        <v>390.58027948686885</v>
      </c>
      <c r="H42" s="74">
        <v>702.4718312973594</v>
      </c>
      <c r="I42" s="74">
        <v>837.6028116036344</v>
      </c>
      <c r="J42" s="74">
        <v>951.9183433240399</v>
      </c>
      <c r="K42" s="74">
        <v>905.1026974133823</v>
      </c>
      <c r="L42" s="74">
        <v>797.9880044398268</v>
      </c>
      <c r="M42" s="67"/>
      <c r="N42" s="67"/>
      <c r="O42" s="67"/>
      <c r="P42" s="67"/>
      <c r="S42" s="78"/>
    </row>
    <row r="43" spans="1:19" ht="12.75">
      <c r="A43" s="88" t="s">
        <v>66</v>
      </c>
      <c r="B43" s="86">
        <v>263.511</v>
      </c>
      <c r="C43" s="87">
        <v>213.36396188279022</v>
      </c>
      <c r="D43" s="87">
        <v>242.27657607417885</v>
      </c>
      <c r="E43" s="87">
        <v>357.99103666614747</v>
      </c>
      <c r="F43" s="87">
        <v>346.31586439124663</v>
      </c>
      <c r="G43" s="87">
        <v>406.6297973387862</v>
      </c>
      <c r="H43" s="87">
        <v>297.37673244505146</v>
      </c>
      <c r="I43" s="87">
        <v>375.79829914624105</v>
      </c>
      <c r="J43" s="87">
        <v>508.3060033023891</v>
      </c>
      <c r="K43" s="87">
        <v>612.0570801847921</v>
      </c>
      <c r="L43" s="87">
        <v>590.4205531013797</v>
      </c>
      <c r="M43" s="67"/>
      <c r="N43" s="67"/>
      <c r="O43" s="67"/>
      <c r="P43" s="67"/>
      <c r="S43" s="78"/>
    </row>
    <row r="44" spans="2:19" ht="12.75"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67"/>
      <c r="N44" s="67"/>
      <c r="O44" s="67"/>
      <c r="P44" s="67"/>
      <c r="S44" s="78"/>
    </row>
    <row r="45" spans="1:19" ht="12.75">
      <c r="A45" s="64" t="s">
        <v>67</v>
      </c>
      <c r="B45" s="78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67"/>
      <c r="N45" s="67"/>
      <c r="O45" s="67"/>
      <c r="P45" s="67"/>
      <c r="S45" s="78"/>
    </row>
    <row r="46" spans="1:19" ht="12.75">
      <c r="A46" s="85" t="s">
        <v>98</v>
      </c>
      <c r="B46" s="86">
        <v>77039.454</v>
      </c>
      <c r="C46" s="87">
        <v>75643.66444307871</v>
      </c>
      <c r="D46" s="87">
        <v>74226.20797315867</v>
      </c>
      <c r="E46" s="87">
        <v>72499.61833826588</v>
      </c>
      <c r="F46" s="87">
        <v>70469.96529393239</v>
      </c>
      <c r="G46" s="87">
        <v>68024.59049881394</v>
      </c>
      <c r="H46" s="87">
        <v>65549.7408958296</v>
      </c>
      <c r="I46" s="87">
        <v>62794.19991198211</v>
      </c>
      <c r="J46" s="87">
        <v>62344.32775661595</v>
      </c>
      <c r="K46" s="87">
        <v>61774.07036246965</v>
      </c>
      <c r="L46" s="87">
        <v>58753.2279679064</v>
      </c>
      <c r="M46" s="67"/>
      <c r="N46" s="67"/>
      <c r="O46" s="67"/>
      <c r="P46" s="67"/>
      <c r="S46" s="78"/>
    </row>
    <row r="47" spans="1:19" ht="12.75">
      <c r="A47" s="80" t="s">
        <v>21</v>
      </c>
      <c r="B47" s="78">
        <v>3066.184</v>
      </c>
      <c r="C47" s="74">
        <v>3369.9890224575392</v>
      </c>
      <c r="D47" s="74">
        <v>3625.775675808359</v>
      </c>
      <c r="E47" s="74">
        <v>3444.405782679214</v>
      </c>
      <c r="F47" s="74">
        <v>2961.3993862524007</v>
      </c>
      <c r="G47" s="74">
        <v>2541.52086994999</v>
      </c>
      <c r="H47" s="74">
        <v>2366.023850270296</v>
      </c>
      <c r="I47" s="74">
        <v>2330.8590584220565</v>
      </c>
      <c r="J47" s="74">
        <v>2398.3721408168312</v>
      </c>
      <c r="K47" s="74">
        <v>2361.5132318686424</v>
      </c>
      <c r="L47" s="74">
        <v>2139.840575947248</v>
      </c>
      <c r="M47" s="67"/>
      <c r="N47" s="67"/>
      <c r="O47" s="67"/>
      <c r="P47" s="67"/>
      <c r="S47" s="78"/>
    </row>
    <row r="48" spans="1:19" ht="12.75">
      <c r="A48" s="88" t="s">
        <v>33</v>
      </c>
      <c r="B48" s="86">
        <v>3723.055</v>
      </c>
      <c r="C48" s="87">
        <v>3074.820245302305</v>
      </c>
      <c r="D48" s="87">
        <v>3371.9430726083287</v>
      </c>
      <c r="E48" s="87">
        <v>3628.7020264502794</v>
      </c>
      <c r="F48" s="87">
        <v>3449.5688461236014</v>
      </c>
      <c r="G48" s="87">
        <v>2967.9066575632523</v>
      </c>
      <c r="H48" s="87">
        <v>2548.260938371014</v>
      </c>
      <c r="I48" s="87">
        <v>2372.423133377191</v>
      </c>
      <c r="J48" s="87">
        <v>2489.1682371876122</v>
      </c>
      <c r="K48" s="87">
        <v>2559.3910712097495</v>
      </c>
      <c r="L48" s="87">
        <v>2370.505590256461</v>
      </c>
      <c r="M48" s="67"/>
      <c r="N48" s="67"/>
      <c r="O48" s="67"/>
      <c r="P48" s="67"/>
      <c r="S48" s="78"/>
    </row>
    <row r="49" spans="1:19" ht="12.75">
      <c r="A49" s="81" t="s">
        <v>37</v>
      </c>
      <c r="B49" s="78">
        <v>5640.209</v>
      </c>
      <c r="C49" s="74">
        <v>3740.365441669211</v>
      </c>
      <c r="D49" s="74">
        <v>3081.923354269398</v>
      </c>
      <c r="E49" s="74">
        <v>3377.0199306350464</v>
      </c>
      <c r="F49" s="74">
        <v>3634.778460083381</v>
      </c>
      <c r="G49" s="74">
        <v>3456.89875857615</v>
      </c>
      <c r="H49" s="74">
        <v>2975.813847725551</v>
      </c>
      <c r="I49" s="74">
        <v>2555.699684460326</v>
      </c>
      <c r="J49" s="74">
        <v>2538.6685160654124</v>
      </c>
      <c r="K49" s="74">
        <v>2659.258904037975</v>
      </c>
      <c r="L49" s="74">
        <v>2570.546294934124</v>
      </c>
      <c r="M49" s="67"/>
      <c r="N49" s="67"/>
      <c r="O49" s="67"/>
      <c r="P49" s="67"/>
      <c r="S49" s="78"/>
    </row>
    <row r="50" spans="1:19" ht="12.75">
      <c r="A50" s="88" t="s">
        <v>38</v>
      </c>
      <c r="B50" s="86">
        <v>5883.928</v>
      </c>
      <c r="C50" s="87">
        <v>5644.235033017342</v>
      </c>
      <c r="D50" s="87">
        <v>3744.703214803304</v>
      </c>
      <c r="E50" s="87">
        <v>3083.0487958378144</v>
      </c>
      <c r="F50" s="87">
        <v>3376.7689753401987</v>
      </c>
      <c r="G50" s="87">
        <v>3635.4979411025133</v>
      </c>
      <c r="H50" s="87">
        <v>3459.635049671564</v>
      </c>
      <c r="I50" s="87">
        <v>2979.795234049555</v>
      </c>
      <c r="J50" s="87">
        <v>2718.6152163924407</v>
      </c>
      <c r="K50" s="87">
        <v>2705.42595955058</v>
      </c>
      <c r="L50" s="87">
        <v>2668.463968600596</v>
      </c>
      <c r="M50" s="67"/>
      <c r="N50" s="67"/>
      <c r="O50" s="67"/>
      <c r="P50" s="67"/>
      <c r="S50" s="78"/>
    </row>
    <row r="51" spans="1:19" ht="12.75">
      <c r="A51" s="81" t="s">
        <v>39</v>
      </c>
      <c r="B51" s="78">
        <v>5377.486</v>
      </c>
      <c r="C51" s="74">
        <v>5875.669722963014</v>
      </c>
      <c r="D51" s="74">
        <v>5636.313666608285</v>
      </c>
      <c r="E51" s="74">
        <v>3745.2392753373006</v>
      </c>
      <c r="F51" s="74">
        <v>3081.7507568280116</v>
      </c>
      <c r="G51" s="74">
        <v>3373.50623509675</v>
      </c>
      <c r="H51" s="74">
        <v>3633.873742695771</v>
      </c>
      <c r="I51" s="74">
        <v>3460.984100995301</v>
      </c>
      <c r="J51" s="74">
        <v>3174.47859729714</v>
      </c>
      <c r="K51" s="74">
        <v>2915.7594414995456</v>
      </c>
      <c r="L51" s="74">
        <v>2712.6027498194244</v>
      </c>
      <c r="M51" s="67"/>
      <c r="N51" s="67"/>
      <c r="O51" s="67"/>
      <c r="P51" s="67"/>
      <c r="S51" s="78"/>
    </row>
    <row r="52" spans="1:19" ht="12.75">
      <c r="A52" s="88" t="s">
        <v>40</v>
      </c>
      <c r="B52" s="86">
        <v>5073.558</v>
      </c>
      <c r="C52" s="87">
        <v>5368.391437740808</v>
      </c>
      <c r="D52" s="87">
        <v>5861.537039833462</v>
      </c>
      <c r="E52" s="87">
        <v>5625.921380815126</v>
      </c>
      <c r="F52" s="87">
        <v>3745.252827173891</v>
      </c>
      <c r="G52" s="87">
        <v>3080.521392242121</v>
      </c>
      <c r="H52" s="87">
        <v>3370.932200779141</v>
      </c>
      <c r="I52" s="87">
        <v>3633.17498665106</v>
      </c>
      <c r="J52" s="87">
        <v>3688.5050710612436</v>
      </c>
      <c r="K52" s="87">
        <v>3404.8453967673668</v>
      </c>
      <c r="L52" s="87">
        <v>2921.9496164614293</v>
      </c>
      <c r="M52" s="67"/>
      <c r="N52" s="67"/>
      <c r="O52" s="67"/>
      <c r="P52" s="67"/>
      <c r="S52" s="78"/>
    </row>
    <row r="53" spans="1:19" ht="12.75">
      <c r="A53" s="81" t="s">
        <v>41</v>
      </c>
      <c r="B53" s="78">
        <v>4653.213</v>
      </c>
      <c r="C53" s="74">
        <v>5059.784082449985</v>
      </c>
      <c r="D53" s="74">
        <v>5350.626371373472</v>
      </c>
      <c r="E53" s="74">
        <v>5842.221492523013</v>
      </c>
      <c r="F53" s="74">
        <v>5612.212552190583</v>
      </c>
      <c r="G53" s="74">
        <v>3743.086923894711</v>
      </c>
      <c r="H53" s="74">
        <v>3078.272375147507</v>
      </c>
      <c r="I53" s="74">
        <v>3367.3831422603084</v>
      </c>
      <c r="J53" s="74">
        <v>3844.7344373631513</v>
      </c>
      <c r="K53" s="74">
        <v>3903.4675465727423</v>
      </c>
      <c r="L53" s="74">
        <v>3407.0144104525834</v>
      </c>
      <c r="M53" s="67"/>
      <c r="N53" s="67"/>
      <c r="O53" s="67"/>
      <c r="P53" s="67"/>
      <c r="S53" s="78"/>
    </row>
    <row r="54" spans="1:19" ht="12.75">
      <c r="A54" s="88" t="s">
        <v>42</v>
      </c>
      <c r="B54" s="86">
        <v>5642.534</v>
      </c>
      <c r="C54" s="87">
        <v>4637.712142373746</v>
      </c>
      <c r="D54" s="87">
        <v>5032.623772110183</v>
      </c>
      <c r="E54" s="87">
        <v>5322.497094318803</v>
      </c>
      <c r="F54" s="87">
        <v>5814.378880159514</v>
      </c>
      <c r="G54" s="87">
        <v>5590.674107724848</v>
      </c>
      <c r="H54" s="87">
        <v>3736.028470112706</v>
      </c>
      <c r="I54" s="87">
        <v>3072.3716459622287</v>
      </c>
      <c r="J54" s="87">
        <v>3541.467994933422</v>
      </c>
      <c r="K54" s="87">
        <v>4020.787636452916</v>
      </c>
      <c r="L54" s="87">
        <v>3898.475391469857</v>
      </c>
      <c r="M54" s="67"/>
      <c r="N54" s="67"/>
      <c r="O54" s="67"/>
      <c r="P54" s="67"/>
      <c r="S54" s="78"/>
    </row>
    <row r="55" spans="1:19" ht="12.75">
      <c r="A55" s="81" t="s">
        <v>43</v>
      </c>
      <c r="B55" s="78">
        <v>6443.87</v>
      </c>
      <c r="C55" s="74">
        <v>5596.346532686147</v>
      </c>
      <c r="D55" s="74">
        <v>4596.661110104885</v>
      </c>
      <c r="E55" s="74">
        <v>4985.273709207556</v>
      </c>
      <c r="F55" s="74">
        <v>5276.3277265133565</v>
      </c>
      <c r="G55" s="74">
        <v>5767.9100817580775</v>
      </c>
      <c r="H55" s="74">
        <v>5552.06536862431</v>
      </c>
      <c r="I55" s="74">
        <v>3716.700800712538</v>
      </c>
      <c r="J55" s="74">
        <v>3214.277886686889</v>
      </c>
      <c r="K55" s="74">
        <v>3682.590910659986</v>
      </c>
      <c r="L55" s="74">
        <v>4005.03289300148</v>
      </c>
      <c r="M55" s="67"/>
      <c r="N55" s="67"/>
      <c r="O55" s="67"/>
      <c r="P55" s="67"/>
      <c r="S55" s="78"/>
    </row>
    <row r="56" spans="1:19" ht="12.75">
      <c r="A56" s="88" t="s">
        <v>44</v>
      </c>
      <c r="B56" s="86">
        <v>6009.795</v>
      </c>
      <c r="C56" s="87">
        <v>6343.612270973281</v>
      </c>
      <c r="D56" s="87">
        <v>5509.25459294135</v>
      </c>
      <c r="E56" s="87">
        <v>4525.9738937126585</v>
      </c>
      <c r="F56" s="87">
        <v>4910.404364797933</v>
      </c>
      <c r="G56" s="87">
        <v>5202.238421630549</v>
      </c>
      <c r="H56" s="87">
        <v>5692.666474522175</v>
      </c>
      <c r="I56" s="87">
        <v>5486.761575220755</v>
      </c>
      <c r="J56" s="87">
        <v>3819.519855613662</v>
      </c>
      <c r="K56" s="87">
        <v>3321.6433886377713</v>
      </c>
      <c r="L56" s="87">
        <v>3650.377578852148</v>
      </c>
      <c r="M56" s="67"/>
      <c r="N56" s="67"/>
      <c r="O56" s="67"/>
      <c r="P56" s="67"/>
      <c r="S56" s="78"/>
    </row>
    <row r="57" spans="1:19" ht="12.75">
      <c r="A57" s="81" t="s">
        <v>45</v>
      </c>
      <c r="B57" s="78">
        <v>5029.588</v>
      </c>
      <c r="C57" s="74">
        <v>5857.155190366789</v>
      </c>
      <c r="D57" s="74">
        <v>6182.169334938</v>
      </c>
      <c r="E57" s="74">
        <v>5371.771361167134</v>
      </c>
      <c r="F57" s="74">
        <v>4418.739641773834</v>
      </c>
      <c r="G57" s="74">
        <v>4797.9695734815</v>
      </c>
      <c r="H57" s="74">
        <v>5090.400323303345</v>
      </c>
      <c r="I57" s="74">
        <v>5577.9173308402105</v>
      </c>
      <c r="J57" s="74">
        <v>5513.752187463099</v>
      </c>
      <c r="K57" s="74">
        <v>3881.0699073206642</v>
      </c>
      <c r="L57" s="74">
        <v>3267.6278662847017</v>
      </c>
      <c r="M57" s="67"/>
      <c r="N57" s="67"/>
      <c r="O57" s="67"/>
      <c r="P57" s="67"/>
      <c r="S57" s="78"/>
    </row>
    <row r="58" spans="1:19" ht="12.75">
      <c r="A58" s="88" t="s">
        <v>46</v>
      </c>
      <c r="B58" s="86">
        <v>2790.083</v>
      </c>
      <c r="C58" s="87">
        <v>4838.158437342747</v>
      </c>
      <c r="D58" s="87">
        <v>5638.966197334817</v>
      </c>
      <c r="E58" s="87">
        <v>5954.3686515866475</v>
      </c>
      <c r="F58" s="87">
        <v>5185.2498157724685</v>
      </c>
      <c r="G58" s="87">
        <v>4273.528663207226</v>
      </c>
      <c r="H58" s="87">
        <v>4644.711289078278</v>
      </c>
      <c r="I58" s="87">
        <v>4937.67880271776</v>
      </c>
      <c r="J58" s="87">
        <v>5541.279657092747</v>
      </c>
      <c r="K58" s="87">
        <v>5478.22045686283</v>
      </c>
      <c r="L58" s="87">
        <v>3778.5120551425603</v>
      </c>
      <c r="M58" s="67"/>
      <c r="N58" s="67"/>
      <c r="O58" s="67"/>
      <c r="P58" s="67"/>
      <c r="S58" s="78"/>
    </row>
    <row r="59" spans="1:19" ht="12.75">
      <c r="A59" s="81" t="s">
        <v>47</v>
      </c>
      <c r="B59" s="78">
        <v>5177.236</v>
      </c>
      <c r="C59" s="74">
        <v>2644.870182736133</v>
      </c>
      <c r="D59" s="74">
        <v>4566.180773601756</v>
      </c>
      <c r="E59" s="74">
        <v>5326.010807375033</v>
      </c>
      <c r="F59" s="74">
        <v>5636.55955995354</v>
      </c>
      <c r="G59" s="74">
        <v>4921.309272321363</v>
      </c>
      <c r="H59" s="74">
        <v>4066.728754090495</v>
      </c>
      <c r="I59" s="74">
        <v>4429.0336928519055</v>
      </c>
      <c r="J59" s="74">
        <v>4833.2505594286295</v>
      </c>
      <c r="K59" s="74">
        <v>5411.1364302849415</v>
      </c>
      <c r="L59" s="74">
        <v>5250.206792422184</v>
      </c>
      <c r="M59" s="67"/>
      <c r="N59" s="67"/>
      <c r="O59" s="67"/>
      <c r="P59" s="67"/>
      <c r="S59" s="78"/>
    </row>
    <row r="60" spans="1:19" ht="12.75">
      <c r="A60" s="88" t="s">
        <v>48</v>
      </c>
      <c r="B60" s="86">
        <v>3614.607</v>
      </c>
      <c r="C60" s="87">
        <v>4715.063817944725</v>
      </c>
      <c r="D60" s="87">
        <v>2415.6847285815384</v>
      </c>
      <c r="E60" s="87">
        <v>4160.950355116586</v>
      </c>
      <c r="F60" s="87">
        <v>4870.0804307139215</v>
      </c>
      <c r="G60" s="87">
        <v>5170.685522825444</v>
      </c>
      <c r="H60" s="87">
        <v>4531.449295204612</v>
      </c>
      <c r="I60" s="87">
        <v>3758.242211071085</v>
      </c>
      <c r="J60" s="87">
        <v>4208.8486416136175</v>
      </c>
      <c r="K60" s="87">
        <v>4596.321562531483</v>
      </c>
      <c r="L60" s="87">
        <v>5046.56181522719</v>
      </c>
      <c r="M60" s="67"/>
      <c r="N60" s="67"/>
      <c r="O60" s="67"/>
      <c r="P60" s="67"/>
      <c r="S60" s="78"/>
    </row>
    <row r="61" spans="1:19" ht="12.75">
      <c r="A61" s="81" t="s">
        <v>49</v>
      </c>
      <c r="B61" s="78">
        <v>4092.022</v>
      </c>
      <c r="C61" s="74">
        <v>3108.4667443441062</v>
      </c>
      <c r="D61" s="74">
        <v>4052.509690868767</v>
      </c>
      <c r="E61" s="74">
        <v>2081.8464430993095</v>
      </c>
      <c r="F61" s="74">
        <v>3593.357589748722</v>
      </c>
      <c r="G61" s="74">
        <v>4225.811533103051</v>
      </c>
      <c r="H61" s="74">
        <v>4508.637299779944</v>
      </c>
      <c r="I61" s="74">
        <v>3972.4141643213293</v>
      </c>
      <c r="J61" s="74">
        <v>3405.8014135709436</v>
      </c>
      <c r="K61" s="74">
        <v>3818.4973677799208</v>
      </c>
      <c r="L61" s="74">
        <v>4089.4680162622026</v>
      </c>
      <c r="M61" s="67"/>
      <c r="N61" s="67"/>
      <c r="O61" s="67"/>
      <c r="P61" s="67"/>
      <c r="S61" s="78"/>
    </row>
    <row r="62" spans="1:19" ht="12.75">
      <c r="A62" s="88" t="s">
        <v>50</v>
      </c>
      <c r="B62" s="86">
        <v>2554.898</v>
      </c>
      <c r="C62" s="87">
        <v>3182.770100846225</v>
      </c>
      <c r="D62" s="87">
        <v>2424.1088245635096</v>
      </c>
      <c r="E62" s="87">
        <v>3162.307803293742</v>
      </c>
      <c r="F62" s="87">
        <v>1636.9909842197987</v>
      </c>
      <c r="G62" s="87">
        <v>2838.8188703875194</v>
      </c>
      <c r="H62" s="87">
        <v>3362.994536969539</v>
      </c>
      <c r="I62" s="87">
        <v>3615.2716242442425</v>
      </c>
      <c r="J62" s="87">
        <v>3289.6244184008533</v>
      </c>
      <c r="K62" s="87">
        <v>2852.9024487742654</v>
      </c>
      <c r="L62" s="87">
        <v>3135.483218146844</v>
      </c>
      <c r="M62" s="67"/>
      <c r="N62" s="67"/>
      <c r="O62" s="67"/>
      <c r="P62" s="67"/>
      <c r="S62" s="78"/>
    </row>
    <row r="63" spans="1:19" ht="12.75">
      <c r="A63" s="81" t="s">
        <v>65</v>
      </c>
      <c r="B63" s="78">
        <v>1172.33</v>
      </c>
      <c r="C63" s="74">
        <v>1679.2543032937913</v>
      </c>
      <c r="D63" s="74">
        <v>2098.2788078974936</v>
      </c>
      <c r="E63" s="74">
        <v>1602.6006357609772</v>
      </c>
      <c r="F63" s="74">
        <v>2106.5293290590444</v>
      </c>
      <c r="G63" s="74">
        <v>1102.0623013831334</v>
      </c>
      <c r="H63" s="74">
        <v>1925.5262775800688</v>
      </c>
      <c r="I63" s="74">
        <v>2305.669103487743</v>
      </c>
      <c r="J63" s="74">
        <v>2562.308479248271</v>
      </c>
      <c r="K63" s="74">
        <v>2362.321219557096</v>
      </c>
      <c r="L63" s="74">
        <v>2022.9927143889352</v>
      </c>
      <c r="M63" s="67"/>
      <c r="N63" s="67"/>
      <c r="O63" s="67"/>
      <c r="P63" s="67"/>
      <c r="S63" s="78"/>
    </row>
    <row r="64" spans="1:19" ht="12.75">
      <c r="A64" s="88" t="s">
        <v>66</v>
      </c>
      <c r="B64" s="86">
        <v>1094.858</v>
      </c>
      <c r="C64" s="87">
        <v>906.9997345708076</v>
      </c>
      <c r="D64" s="87">
        <v>1036.9477449117608</v>
      </c>
      <c r="E64" s="87">
        <v>1259.458899349643</v>
      </c>
      <c r="F64" s="87">
        <v>1159.6151672281796</v>
      </c>
      <c r="G64" s="87">
        <v>1334.6433725657469</v>
      </c>
      <c r="H64" s="87">
        <v>1005.7208019032976</v>
      </c>
      <c r="I64" s="87">
        <v>1221.8196203365205</v>
      </c>
      <c r="J64" s="87">
        <v>1561.6544463799903</v>
      </c>
      <c r="K64" s="87">
        <v>1838.9174821011802</v>
      </c>
      <c r="L64" s="87">
        <v>1817.5664202364333</v>
      </c>
      <c r="M64" s="67"/>
      <c r="N64" s="67"/>
      <c r="O64" s="67"/>
      <c r="P64" s="67"/>
      <c r="S64" s="78"/>
    </row>
    <row r="65" spans="3:12" ht="12.75">
      <c r="C65" s="82"/>
      <c r="D65" s="82"/>
      <c r="E65" s="82"/>
      <c r="F65" s="82"/>
      <c r="G65" s="82"/>
      <c r="H65" s="82"/>
      <c r="I65" s="82"/>
      <c r="J65" s="82"/>
      <c r="K65" s="82"/>
      <c r="L65" s="82"/>
    </row>
    <row r="66" spans="1:12" ht="12.75">
      <c r="A66" s="64" t="s">
        <v>141</v>
      </c>
      <c r="B66" s="76" t="s">
        <v>94</v>
      </c>
      <c r="C66" s="75" t="s">
        <v>72</v>
      </c>
      <c r="D66" s="75" t="s">
        <v>73</v>
      </c>
      <c r="E66" s="75" t="s">
        <v>74</v>
      </c>
      <c r="F66" s="75" t="s">
        <v>75</v>
      </c>
      <c r="G66" s="75" t="s">
        <v>76</v>
      </c>
      <c r="H66" s="75" t="s">
        <v>77</v>
      </c>
      <c r="I66" s="75" t="s">
        <v>78</v>
      </c>
      <c r="J66" s="75" t="s">
        <v>79</v>
      </c>
      <c r="K66" s="75" t="s">
        <v>80</v>
      </c>
      <c r="L66" s="75" t="s">
        <v>81</v>
      </c>
    </row>
    <row r="67" spans="1:12" ht="12.75">
      <c r="A67" s="89" t="s">
        <v>137</v>
      </c>
      <c r="B67" s="90">
        <v>6329.362</v>
      </c>
      <c r="C67" s="87">
        <v>7052.878435121984</v>
      </c>
      <c r="D67" s="87">
        <v>7576.735780826899</v>
      </c>
      <c r="E67" s="87">
        <v>7182.51742401274</v>
      </c>
      <c r="F67" s="87">
        <v>6162.367430350548</v>
      </c>
      <c r="G67" s="87">
        <v>5279.690542842252</v>
      </c>
      <c r="H67" s="87">
        <v>4909.659349335771</v>
      </c>
      <c r="I67" s="87">
        <v>4832.729642735244</v>
      </c>
      <c r="J67" s="87">
        <v>4826.21734616003</v>
      </c>
      <c r="K67" s="87">
        <v>4745.358414353544</v>
      </c>
      <c r="L67" s="87">
        <v>4427.698056893522</v>
      </c>
    </row>
    <row r="68" spans="1:12" ht="12.75">
      <c r="A68" s="83" t="s">
        <v>138</v>
      </c>
      <c r="B68" s="70">
        <v>10456.42</v>
      </c>
      <c r="C68" s="74">
        <v>10765.949692318332</v>
      </c>
      <c r="D68" s="74">
        <v>10927.52038972325</v>
      </c>
      <c r="E68" s="74">
        <v>11116.962507521524</v>
      </c>
      <c r="F68" s="74">
        <v>10828.681016401666</v>
      </c>
      <c r="G68" s="74">
        <v>10745.963480482436</v>
      </c>
      <c r="H68" s="74">
        <v>10473.633823030601</v>
      </c>
      <c r="I68" s="74">
        <v>10658.201028019432</v>
      </c>
      <c r="J68" s="74">
        <v>10812.28807376422</v>
      </c>
      <c r="K68" s="74">
        <v>10870.150359966294</v>
      </c>
      <c r="L68" s="74">
        <v>10484.539243694755</v>
      </c>
    </row>
    <row r="69" spans="1:12" ht="12.75">
      <c r="A69" s="89" t="s">
        <v>139</v>
      </c>
      <c r="B69" s="90">
        <v>2446.152</v>
      </c>
      <c r="C69" s="87">
        <v>1134.3886159016738</v>
      </c>
      <c r="D69" s="87">
        <v>781.902404500584</v>
      </c>
      <c r="E69" s="87">
        <v>678.8581752126854</v>
      </c>
      <c r="F69" s="87">
        <v>638.9521067514222</v>
      </c>
      <c r="G69" s="87">
        <v>615.628654033256</v>
      </c>
      <c r="H69" s="87">
        <v>597.6143032669132</v>
      </c>
      <c r="I69" s="87">
        <v>582.0957697177666</v>
      </c>
      <c r="J69" s="87">
        <v>5567.74643249185</v>
      </c>
      <c r="K69" s="87">
        <v>5553.8588887075</v>
      </c>
      <c r="L69" s="87">
        <v>540.5463243454042</v>
      </c>
    </row>
    <row r="70" spans="1:12" ht="12.75">
      <c r="A70" s="83" t="s">
        <v>140</v>
      </c>
      <c r="B70" s="70">
        <v>1097.027</v>
      </c>
      <c r="C70" s="74">
        <v>585.417067100869</v>
      </c>
      <c r="D70" s="74">
        <v>370.13570220836436</v>
      </c>
      <c r="E70" s="74">
        <v>279.16840223933036</v>
      </c>
      <c r="F70" s="74">
        <v>242.58230822166473</v>
      </c>
      <c r="G70" s="74">
        <v>229.0544057527205</v>
      </c>
      <c r="H70" s="74">
        <v>219.87850933878283</v>
      </c>
      <c r="I70" s="74">
        <v>210.3971622612697</v>
      </c>
      <c r="J70" s="74">
        <v>205.02098044146075</v>
      </c>
      <c r="K70" s="74">
        <v>203.60083279687765</v>
      </c>
      <c r="L70" s="74">
        <v>198.05127273363573</v>
      </c>
    </row>
    <row r="71" spans="1:12" ht="12.75">
      <c r="A71" s="64" t="s">
        <v>142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 password="CC57" sheet="1" objects="1" scenarios="1"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S37"/>
  <sheetViews>
    <sheetView zoomScale="60" zoomScaleNormal="60" workbookViewId="0" topLeftCell="A1">
      <selection activeCell="R34" sqref="R34"/>
    </sheetView>
  </sheetViews>
  <sheetFormatPr defaultColWidth="9.140625" defaultRowHeight="12.75"/>
  <cols>
    <col min="1" max="16384" width="9.140625" style="92" customWidth="1"/>
  </cols>
  <sheetData>
    <row r="1" spans="4:5" ht="16.5" customHeight="1">
      <c r="D1" s="91"/>
      <c r="E1" s="91"/>
    </row>
    <row r="35" ht="12.75">
      <c r="D35" s="93"/>
    </row>
    <row r="37" spans="1:19" ht="60" customHeight="1">
      <c r="A37" s="101" t="s">
        <v>146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</row>
  </sheetData>
  <sheetProtection password="CC57" sheet="1" objects="1" scenarios="1"/>
  <mergeCells count="1">
    <mergeCell ref="A37:S3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CH311"/>
  <sheetViews>
    <sheetView workbookViewId="0" topLeftCell="BB1">
      <selection activeCell="B244" sqref="B244:B310"/>
    </sheetView>
  </sheetViews>
  <sheetFormatPr defaultColWidth="9.140625" defaultRowHeight="12.75"/>
  <cols>
    <col min="2" max="2" width="11.57421875" style="0" bestFit="1" customWidth="1"/>
    <col min="3" max="3" width="10.00390625" style="0" bestFit="1" customWidth="1"/>
    <col min="8" max="8" width="11.57421875" style="0" bestFit="1" customWidth="1"/>
    <col min="74" max="75" width="10.28125" style="0" bestFit="1" customWidth="1"/>
  </cols>
  <sheetData>
    <row r="1" spans="2:85" ht="12.75">
      <c r="B1">
        <v>2001</v>
      </c>
      <c r="H1">
        <f>B1+5</f>
        <v>2006</v>
      </c>
      <c r="N1">
        <f>H1+5</f>
        <v>2011</v>
      </c>
      <c r="T1">
        <f>N1+5</f>
        <v>2016</v>
      </c>
      <c r="Z1">
        <f>T1+5</f>
        <v>2021</v>
      </c>
      <c r="AF1">
        <f>Z1+5</f>
        <v>2026</v>
      </c>
      <c r="AL1">
        <f>AF1+5</f>
        <v>2031</v>
      </c>
      <c r="AR1">
        <f>AL1+5</f>
        <v>2036</v>
      </c>
      <c r="AX1">
        <f>AR1+5</f>
        <v>2041</v>
      </c>
      <c r="BD1">
        <f>AX1+5</f>
        <v>2046</v>
      </c>
      <c r="BJ1">
        <f>BD1+5</f>
        <v>2051</v>
      </c>
      <c r="BU1" s="1">
        <v>1</v>
      </c>
      <c r="BW1">
        <f ca="1" t="shared" si="0" ref="BW1:CG1">INDIRECT(BW16&amp;(16+$BU$1))</f>
        <v>2001</v>
      </c>
      <c r="BX1">
        <f ca="1" t="shared" si="0"/>
        <v>2006</v>
      </c>
      <c r="BY1">
        <f ca="1" t="shared" si="0"/>
        <v>2011</v>
      </c>
      <c r="BZ1">
        <f ca="1" t="shared" si="0"/>
        <v>2016</v>
      </c>
      <c r="CA1">
        <f ca="1" t="shared" si="0"/>
        <v>2021</v>
      </c>
      <c r="CB1">
        <f ca="1" t="shared" si="0"/>
        <v>2026</v>
      </c>
      <c r="CC1">
        <f ca="1" t="shared" si="0"/>
        <v>2031</v>
      </c>
      <c r="CD1">
        <f ca="1" t="shared" si="0"/>
        <v>2036</v>
      </c>
      <c r="CE1">
        <f ca="1" t="shared" si="0"/>
        <v>2041</v>
      </c>
      <c r="CF1">
        <f ca="1" t="shared" si="0"/>
        <v>2046</v>
      </c>
      <c r="CG1">
        <f ca="1" t="shared" si="0"/>
        <v>2051</v>
      </c>
    </row>
    <row r="2" spans="2:75" ht="12.75">
      <c r="B2" s="3">
        <f>SUM(B5:B22,B26:B43)/1000</f>
        <v>144819.099</v>
      </c>
      <c r="H2" s="3">
        <f>SUM(H5:H22,H26:H43)/1000</f>
        <v>141654.99929160444</v>
      </c>
      <c r="N2" s="3">
        <f>SUM(N5:N22,N26:N43)/1000</f>
        <v>138715.9813850003</v>
      </c>
      <c r="T2" s="3">
        <f>SUM(T5:T22,T26:T43)/1000</f>
        <v>135181.22607446488</v>
      </c>
      <c r="Z2" s="3">
        <f>SUM(Z5:Z22,Z26:Z43)/1000</f>
        <v>130911.28228694352</v>
      </c>
      <c r="AF2" s="3">
        <f>SUM(AF5:AF22,AF26:AF43)/1000</f>
        <v>125831.58359758387</v>
      </c>
      <c r="AL2" s="3">
        <f>SUM(AL5:AL22,AL26:AL43)/1000</f>
        <v>120645.34491781717</v>
      </c>
      <c r="AR2" s="3">
        <f>SUM(AR5:AR22,AR26:AR43)/1000</f>
        <v>115191.57213998948</v>
      </c>
      <c r="AX2" s="3">
        <f>SUM(AX5:AX22,AX26:AX43)/1000</f>
        <v>114568.22686443568</v>
      </c>
      <c r="BD2" s="3">
        <f>SUM(BD5:BD22,BD26:BD43)/1000</f>
        <v>113793.69297473355</v>
      </c>
      <c r="BJ2" s="3">
        <f>SUM(BJ5:BJ22,BJ26:BJ43)/1000</f>
        <v>108079.34683954409</v>
      </c>
      <c r="BU2" s="1">
        <v>1</v>
      </c>
      <c r="BV2" t="str">
        <f ca="1">INDIRECT(BV16&amp;($BU$1+16))</f>
        <v>Население (млн.)</v>
      </c>
      <c r="BW2" s="39"/>
    </row>
    <row r="3" spans="1:85" ht="12.75">
      <c r="A3" s="9" t="s">
        <v>57</v>
      </c>
      <c r="B3" s="26"/>
      <c r="C3" s="3"/>
      <c r="H3" s="26"/>
      <c r="I3" s="3"/>
      <c r="N3" s="26"/>
      <c r="O3" s="3"/>
      <c r="T3" s="26"/>
      <c r="U3" s="3"/>
      <c r="Z3" s="26"/>
      <c r="AA3" s="3"/>
      <c r="AF3" s="26"/>
      <c r="AG3" s="3"/>
      <c r="AL3" s="26"/>
      <c r="AM3" s="3"/>
      <c r="AR3" s="26"/>
      <c r="AS3" s="3"/>
      <c r="AX3" s="26"/>
      <c r="AY3" s="3"/>
      <c r="BD3" s="26"/>
      <c r="BE3" s="3"/>
      <c r="BJ3" s="26"/>
      <c r="BV3" s="28" t="s">
        <v>97</v>
      </c>
      <c r="BW3" s="45">
        <f ca="1" t="shared" si="1" ref="BW3:CG3">INDIRECT(BW16&amp;($BU$1+10))</f>
        <v>144.819099</v>
      </c>
      <c r="BX3" s="45">
        <f ca="1" t="shared" si="1"/>
        <v>141.6549992916044</v>
      </c>
      <c r="BY3" s="45">
        <f ca="1" t="shared" si="1"/>
        <v>138.71598138500028</v>
      </c>
      <c r="BZ3" s="45">
        <f ca="1" t="shared" si="1"/>
        <v>135.18122607446494</v>
      </c>
      <c r="CA3" s="45">
        <f ca="1" t="shared" si="1"/>
        <v>130.9112822869435</v>
      </c>
      <c r="CB3" s="45">
        <f ca="1" t="shared" si="1"/>
        <v>125.83158359758384</v>
      </c>
      <c r="CC3" s="45">
        <f ca="1" t="shared" si="1"/>
        <v>120.64534491781716</v>
      </c>
      <c r="CD3" s="45">
        <f ca="1" t="shared" si="1"/>
        <v>115.19157213998946</v>
      </c>
      <c r="CE3" s="45">
        <f ca="1" t="shared" si="1"/>
        <v>114.56822686443566</v>
      </c>
      <c r="CF3" s="45">
        <f ca="1" t="shared" si="1"/>
        <v>113.79369297473353</v>
      </c>
      <c r="CG3" s="45">
        <f ca="1" t="shared" si="1"/>
        <v>108.07934683954409</v>
      </c>
    </row>
    <row r="4" spans="1:85" ht="12.75">
      <c r="A4" s="9" t="s">
        <v>98</v>
      </c>
      <c r="B4" s="26">
        <v>67779645</v>
      </c>
      <c r="C4" s="3"/>
      <c r="H4" s="26">
        <f>SUM(H5:H22)</f>
        <v>66011334.84852575</v>
      </c>
      <c r="I4" s="3"/>
      <c r="N4" s="26">
        <f>SUM(N5:N22)</f>
        <v>64489773.411841646</v>
      </c>
      <c r="O4" s="3"/>
      <c r="T4" s="26">
        <f>SUM(T5:T22)</f>
        <v>62681607.736199036</v>
      </c>
      <c r="U4" s="3"/>
      <c r="Z4" s="26">
        <f>SUM(Z5:Z22)</f>
        <v>60441316.99301112</v>
      </c>
      <c r="AA4" s="3"/>
      <c r="AF4" s="26">
        <f>SUM(AF5:AF22)</f>
        <v>57806993.0987699</v>
      </c>
      <c r="AG4" s="3"/>
      <c r="AL4" s="26">
        <f>SUM(AL5:AL22)</f>
        <v>55095604.021987565</v>
      </c>
      <c r="AM4" s="3"/>
      <c r="AR4" s="26">
        <f>SUM(AR5:AR22)</f>
        <v>52397372.22800735</v>
      </c>
      <c r="AS4" s="3"/>
      <c r="AX4" s="26">
        <f>SUM(AX5:AX22)</f>
        <v>52223899.10781973</v>
      </c>
      <c r="AY4" s="3"/>
      <c r="BD4" s="26">
        <f>SUM(BD5:BD22)</f>
        <v>52019622.61226387</v>
      </c>
      <c r="BE4" s="3"/>
      <c r="BJ4" s="26">
        <f>SUM(BJ5:BJ22)</f>
        <v>49326118.871637665</v>
      </c>
      <c r="BP4" t="s">
        <v>57</v>
      </c>
      <c r="BS4" t="s">
        <v>67</v>
      </c>
      <c r="BT4">
        <f>Table!A1</f>
        <v>2051</v>
      </c>
      <c r="BV4" s="28" t="s">
        <v>99</v>
      </c>
      <c r="BW4" s="46">
        <f ca="1" t="shared" si="2" ref="BW4:CG4">INDIRECT(BW16&amp;($BU$1+4))</f>
        <v>144.819099</v>
      </c>
      <c r="BX4" s="46">
        <f ca="1" t="shared" si="2"/>
        <v>141.65499929160447</v>
      </c>
      <c r="BY4" s="46">
        <f ca="1" t="shared" si="2"/>
        <v>138.7159813850003</v>
      </c>
      <c r="BZ4" s="46">
        <f ca="1" t="shared" si="2"/>
        <v>135.18122607446492</v>
      </c>
      <c r="CA4" s="46">
        <f ca="1" t="shared" si="2"/>
        <v>130.91128228694353</v>
      </c>
      <c r="CB4" s="46">
        <f ca="1" t="shared" si="2"/>
        <v>125.83158359758384</v>
      </c>
      <c r="CC4" s="46">
        <f ca="1" t="shared" si="2"/>
        <v>120.64534491781727</v>
      </c>
      <c r="CD4" s="46">
        <f ca="1" t="shared" si="2"/>
        <v>115.19157213998949</v>
      </c>
      <c r="CE4" s="46">
        <f ca="1" t="shared" si="2"/>
        <v>109.62718429491561</v>
      </c>
      <c r="CF4" s="46">
        <f ca="1" t="shared" si="2"/>
        <v>104.00830964110845</v>
      </c>
      <c r="CG4" s="46">
        <f ca="1" t="shared" si="2"/>
        <v>98.47119131913644</v>
      </c>
    </row>
    <row r="5" spans="1:85" ht="12.75">
      <c r="A5" s="13" t="s">
        <v>21</v>
      </c>
      <c r="B5" s="26">
        <v>3237075</v>
      </c>
      <c r="C5" s="3">
        <f>B5*B137/1000*Table!B$225</f>
        <v>8320.654546913358</v>
      </c>
      <c r="D5" s="3">
        <f>B179/2*B$223*5</f>
        <v>14378.516627021761</v>
      </c>
      <c r="E5">
        <f>E124*B221*B47</f>
        <v>3574597.177051332</v>
      </c>
      <c r="F5" s="3">
        <f>E5*B137/1000*Table!B$225</f>
        <v>9188.229575964666</v>
      </c>
      <c r="G5" s="103">
        <f>B179/2*B$223*5</f>
        <v>14378.516627021761</v>
      </c>
      <c r="H5" s="3">
        <f aca="true" t="shared" si="3" ref="H5:H22">E5-F5+G5</f>
        <v>3579787.464102389</v>
      </c>
      <c r="I5" s="3">
        <f>H5*H137/1000*Table!H$225</f>
        <v>5919.983259857827</v>
      </c>
      <c r="J5" s="48">
        <f>H179/2*H$223*5</f>
        <v>11049.295280895487</v>
      </c>
      <c r="K5">
        <f>K124*H221*H47</f>
        <v>3848869.5728167146</v>
      </c>
      <c r="L5" s="3">
        <f>K5*H137/1000*Table!H$225</f>
        <v>6364.971012647636</v>
      </c>
      <c r="M5" s="103">
        <f>H179/2*H$223*5</f>
        <v>11049.295280895487</v>
      </c>
      <c r="N5" s="3">
        <f aca="true" t="shared" si="4" ref="N5:N22">K5-L5+M5</f>
        <v>3853553.8970849626</v>
      </c>
      <c r="O5" s="3">
        <f>N5*N137/1000*Table!N$225</f>
        <v>4948.513328374415</v>
      </c>
      <c r="P5" s="48">
        <f>N179/2*N$223*5</f>
        <v>10411.124140941374</v>
      </c>
      <c r="Q5">
        <f>Q124*N221*N47</f>
        <v>3656773.5737439524</v>
      </c>
      <c r="R5" s="3">
        <f>Q5*N137/1000*Table!N$225</f>
        <v>4695.819301296858</v>
      </c>
      <c r="S5" s="103">
        <f>N179/2*N$223*5</f>
        <v>10411.124140941374</v>
      </c>
      <c r="T5" s="3">
        <f aca="true" t="shared" si="5" ref="T5:T22">Q5-R5+S5</f>
        <v>3662488.878583597</v>
      </c>
      <c r="U5" s="3">
        <f>T5*T137/1000*Table!T$225</f>
        <v>4306.616266766058</v>
      </c>
      <c r="V5" s="48">
        <f>T179/2*T$223*5</f>
        <v>9570.978329123376</v>
      </c>
      <c r="W5">
        <f>W124*T221*T47</f>
        <v>3144436.2349468735</v>
      </c>
      <c r="X5" s="3">
        <f>W5*T137/1000*Table!T$225</f>
        <v>3697.452931097475</v>
      </c>
      <c r="Y5" s="103">
        <f>T179/2*T$223*5</f>
        <v>9570.978329123376</v>
      </c>
      <c r="Z5" s="3">
        <f aca="true" t="shared" si="6" ref="Z5:Z22">W5-X5+Y5</f>
        <v>3150309.7603448997</v>
      </c>
      <c r="AA5" s="3">
        <f>Z5*Z137/1000*Table!Z$225</f>
        <v>3727.081826088928</v>
      </c>
      <c r="AB5" s="48">
        <f>Z179/2*Z$223*5</f>
        <v>8372.889578873017</v>
      </c>
      <c r="AC5">
        <f>AC124*Z221*Z47</f>
        <v>2699533.9491602033</v>
      </c>
      <c r="AD5" s="3">
        <f>AC5*Z137/1000*Table!Z$225</f>
        <v>3193.776068459863</v>
      </c>
      <c r="AE5" s="103">
        <f>Z179/2*Z$223*5</f>
        <v>8372.889578873017</v>
      </c>
      <c r="AF5" s="3">
        <f aca="true" t="shared" si="7" ref="AF5:AF22">AC5-AD5+AE5</f>
        <v>2704713.0626706164</v>
      </c>
      <c r="AG5" s="3">
        <f>AF5*AF137/1000*Table!AF$225</f>
        <v>3255.7469260536823</v>
      </c>
      <c r="AH5" s="48">
        <f>AF179/2*AF$223*5</f>
        <v>7484.633071696321</v>
      </c>
      <c r="AI5">
        <f>AI124*AF221*AF47</f>
        <v>2514212.8998405677</v>
      </c>
      <c r="AJ5" s="3">
        <f>AI5*AF137/1000*Table!AF$225</f>
        <v>3026.4359769157886</v>
      </c>
      <c r="AK5" s="103">
        <f>AF179/2*AF$223*5</f>
        <v>7484.633071696321</v>
      </c>
      <c r="AL5" s="3">
        <f aca="true" t="shared" si="8" ref="AL5:AL22">AI5-AJ5+AK5</f>
        <v>2518671.096935348</v>
      </c>
      <c r="AM5" s="3">
        <f>AL5*AL137/1000*Table!AL$225</f>
        <v>3046.648653517748</v>
      </c>
      <c r="AN5" s="48">
        <f>AL179/2*AL$223*5</f>
        <v>7152.358539445422</v>
      </c>
      <c r="AO5">
        <f>AO124*AL221*AL47</f>
        <v>2477579.774279254</v>
      </c>
      <c r="AP5" s="3">
        <f>AO5*AL137/1000*Table!AL$225</f>
        <v>2996.9435439487447</v>
      </c>
      <c r="AQ5" s="103">
        <f>AL179/2*AL$223*5</f>
        <v>7152.358539445422</v>
      </c>
      <c r="AR5" s="3">
        <f aca="true" t="shared" si="9" ref="AR5:AR22">AO5-AP5+AQ5</f>
        <v>2481735.1892747506</v>
      </c>
      <c r="AS5" s="3">
        <f>AR5*AR137/1000*Table!AR$225</f>
        <v>3032.565444379039</v>
      </c>
      <c r="AT5" s="48">
        <f>AR179/2*AR$223*5</f>
        <v>79146.27420567647</v>
      </c>
      <c r="AU5">
        <f>AU124*AR221*AR47</f>
        <v>2476160.8944483064</v>
      </c>
      <c r="AV5" s="3">
        <f>AU5*AR137/1000*Table!AR$225</f>
        <v>3025.7539143090657</v>
      </c>
      <c r="AW5" s="103">
        <f>AR179/2*AR$223*5</f>
        <v>79146.27420567647</v>
      </c>
      <c r="AX5" s="3">
        <f aca="true" t="shared" si="10" ref="AX5:AX22">AU5-AV5+AW5</f>
        <v>2552281.4147396735</v>
      </c>
      <c r="AY5" s="3">
        <f>AX5*AX137/1000*Table!AX$225</f>
        <v>3112.6157805342173</v>
      </c>
      <c r="AZ5" s="48">
        <f>AX179/2*AX$223*5</f>
        <v>79982.58898236221</v>
      </c>
      <c r="BA5">
        <f>BA124*AX221*AX47</f>
        <v>2436047.5355975907</v>
      </c>
      <c r="BB5" s="3">
        <f>BA5*AX137/1000*Table!AX$225</f>
        <v>2970.8636193653997</v>
      </c>
      <c r="BC5" s="103">
        <f>AX179/2*AX$223*5</f>
        <v>79982.58898236221</v>
      </c>
      <c r="BD5" s="3">
        <f aca="true" t="shared" si="11" ref="BD5:BD22">BA5-BB5+BC5</f>
        <v>2513059.2609605878</v>
      </c>
      <c r="BE5" s="3">
        <f>BD5*BD137/1000*Table!BD$225</f>
        <v>3050.301800315632</v>
      </c>
      <c r="BF5" s="48">
        <f>BD179/2*BD$223*5</f>
        <v>7644.272025886595</v>
      </c>
      <c r="BG5">
        <f>BG124*BD221*BD47</f>
        <v>2273939.3455281104</v>
      </c>
      <c r="BH5" s="3">
        <f>BG5*BD137/1000*Table!BD$225</f>
        <v>2760.0627598497863</v>
      </c>
      <c r="BI5" s="103">
        <f>BD179/2*BD$223*5</f>
        <v>7644.272025886595</v>
      </c>
      <c r="BJ5" s="3">
        <f aca="true" t="shared" si="12" ref="BJ5:BJ22">BG5-BH5+BI5</f>
        <v>2278823.554794147</v>
      </c>
      <c r="BL5">
        <v>5</v>
      </c>
      <c r="BO5" s="37" t="s">
        <v>100</v>
      </c>
      <c r="BP5" s="3">
        <f ca="1">INDIRECT(Table!$D$8&amp;Calculate!BL5)/1000</f>
        <v>2278.823554794147</v>
      </c>
      <c r="BR5" s="37" t="s">
        <v>101</v>
      </c>
      <c r="BS5" s="3">
        <f ca="1">INDIRECT(Table!$D$8&amp;Calculate!BL26)/1000</f>
        <v>2139.840575947248</v>
      </c>
      <c r="BT5" s="3">
        <v>0</v>
      </c>
      <c r="BW5" s="47">
        <f aca="true" t="shared" si="13" ref="BW5:CG5">IF(BW10="",#N/A,BW10)/1000</f>
        <v>144.819099</v>
      </c>
      <c r="BX5" s="47">
        <f t="shared" si="13"/>
        <v>141.65499929160447</v>
      </c>
      <c r="BY5" s="47">
        <f t="shared" si="13"/>
        <v>138.7159813850003</v>
      </c>
      <c r="BZ5" s="47">
        <f t="shared" si="13"/>
        <v>135.18122607446492</v>
      </c>
      <c r="CA5" s="47">
        <f t="shared" si="13"/>
        <v>130.91128228694353</v>
      </c>
      <c r="CB5" s="47">
        <f t="shared" si="13"/>
        <v>125.83158359758384</v>
      </c>
      <c r="CC5" s="47">
        <f t="shared" si="13"/>
        <v>120.64534491781727</v>
      </c>
      <c r="CD5" s="47">
        <f t="shared" si="13"/>
        <v>115.19157213998949</v>
      </c>
      <c r="CE5" s="47">
        <f t="shared" si="13"/>
        <v>109.62718429491561</v>
      </c>
      <c r="CF5" s="47">
        <f t="shared" si="13"/>
        <v>104.00830964110845</v>
      </c>
      <c r="CG5" s="47">
        <f t="shared" si="13"/>
        <v>98.47119131913644</v>
      </c>
    </row>
    <row r="6" spans="1:85" ht="12.75">
      <c r="A6" s="16" t="s">
        <v>33</v>
      </c>
      <c r="B6" s="26">
        <v>3916059</v>
      </c>
      <c r="C6" s="3">
        <f>B6*B138/1000*Table!B$225</f>
        <v>9073.17144643248</v>
      </c>
      <c r="D6" s="3">
        <f aca="true" t="shared" si="14" ref="D6:D22">B180/2*B$223*5</f>
        <v>19701.122862990138</v>
      </c>
      <c r="E6" s="3">
        <f aca="true" t="shared" si="15" ref="E6:E21">(B5-C5+D5)*B48</f>
        <v>3231162.1236762507</v>
      </c>
      <c r="F6" s="3">
        <f>E6*B138/1000*Table!B$225</f>
        <v>7486.324368282881</v>
      </c>
      <c r="G6" s="103">
        <f aca="true" t="shared" si="16" ref="G6:G22">B180/2*B$223*5</f>
        <v>19701.122862990138</v>
      </c>
      <c r="H6" s="3">
        <f t="shared" si="3"/>
        <v>3243376.922170958</v>
      </c>
      <c r="I6" s="3">
        <f>H6*H138/1000*Table!H$225</f>
        <v>4834.658683116479</v>
      </c>
      <c r="J6" s="48">
        <f aca="true" t="shared" si="17" ref="J6:J22">H180/2*H$223*5</f>
        <v>11338.489180633242</v>
      </c>
      <c r="K6" s="3">
        <f aca="true" t="shared" si="18" ref="K6:K21">(H5-I5+J5)*H48</f>
        <v>3573593.238318799</v>
      </c>
      <c r="L6" s="3">
        <f>K6*H138/1000*Table!H$225</f>
        <v>5326.887375149685</v>
      </c>
      <c r="M6" s="103">
        <f aca="true" t="shared" si="19" ref="M6:M22">H180/2*H$223*5</f>
        <v>11338.489180633242</v>
      </c>
      <c r="N6" s="3">
        <f t="shared" si="4"/>
        <v>3579604.8401242825</v>
      </c>
      <c r="O6" s="3">
        <f>N6*N138/1000*Table!N$225</f>
        <v>4143.3684488210465</v>
      </c>
      <c r="P6" s="48">
        <f aca="true" t="shared" si="20" ref="P6:P22">N180/2*N$223*5</f>
        <v>10953.469540841157</v>
      </c>
      <c r="Q6" s="3">
        <f aca="true" t="shared" si="21" ref="Q6:Q21">(N5-O5+P5)*N48</f>
        <v>3848364.3567168643</v>
      </c>
      <c r="R6" s="3">
        <f>Q6*N138/1000*Table!N$225</f>
        <v>4454.455775804166</v>
      </c>
      <c r="S6" s="103">
        <f aca="true" t="shared" si="22" ref="S6:S22">N180/2*N$223*5</f>
        <v>10953.469540841157</v>
      </c>
      <c r="T6" s="3">
        <f t="shared" si="5"/>
        <v>3854863.370481901</v>
      </c>
      <c r="U6" s="3">
        <f>T6*T138/1000*Table!T$225</f>
        <v>4085.7709180573383</v>
      </c>
      <c r="V6" s="48">
        <f aca="true" t="shared" si="23" ref="V6:V22">T180/2*T$223*5</f>
        <v>11409.574248929495</v>
      </c>
      <c r="W6" s="3">
        <f aca="true" t="shared" si="24" ref="W6:W21">(T5-U5+V5)*T48</f>
        <v>3659214.003237548</v>
      </c>
      <c r="X6" s="3">
        <f>W6*T138/1000*Table!T$225</f>
        <v>3878.402091202298</v>
      </c>
      <c r="Y6" s="103">
        <f aca="true" t="shared" si="25" ref="Y6:Y22">T180/2*T$223*5</f>
        <v>11409.574248929495</v>
      </c>
      <c r="Z6" s="3">
        <f t="shared" si="6"/>
        <v>3666745.175395275</v>
      </c>
      <c r="AA6" s="3">
        <f>Z6*Z138/1000*Table!Z$225</f>
        <v>3910.2233001662203</v>
      </c>
      <c r="AB6" s="48">
        <f aca="true" t="shared" si="26" ref="AB6:AB22">Z180/2*Z$223*5</f>
        <v>11037.818922978451</v>
      </c>
      <c r="AC6" s="3">
        <f aca="true" t="shared" si="27" ref="AC6:AC21">(Z5-AA5+AB5)*Z48</f>
        <v>3148828.052302903</v>
      </c>
      <c r="AD6" s="3">
        <f>AC6*Z138/1000*Table!Z$225</f>
        <v>3357.915597994761</v>
      </c>
      <c r="AE6" s="103">
        <f aca="true" t="shared" si="28" ref="AE6:AE22">Z180/2*Z$223*5</f>
        <v>11037.818922978451</v>
      </c>
      <c r="AF6" s="3">
        <f t="shared" si="7"/>
        <v>3156507.9556278866</v>
      </c>
      <c r="AG6" s="3">
        <f>AF6*AF138/1000*Table!AF$225</f>
        <v>3424.84948692873</v>
      </c>
      <c r="AH6" s="48">
        <f aca="true" t="shared" si="29" ref="AH6:AH22">AF180/2*AF$223*5</f>
        <v>9893.196492607714</v>
      </c>
      <c r="AI6" s="3">
        <f aca="true" t="shared" si="30" ref="AI6:AI21">(AF5-AG5+AH5)*AF48</f>
        <v>2704498.054735245</v>
      </c>
      <c r="AJ6" s="3">
        <f>AI6*AF138/1000*Table!AF$225</f>
        <v>2934.4132520386042</v>
      </c>
      <c r="AK6" s="103">
        <f aca="true" t="shared" si="31" ref="AK6:AK22">AF180/2*AF$223*5</f>
        <v>9893.196492607714</v>
      </c>
      <c r="AL6" s="3">
        <f t="shared" si="8"/>
        <v>2711456.8379758145</v>
      </c>
      <c r="AM6" s="3">
        <f>AL6*AL138/1000*Table!AL$225</f>
        <v>2956.369897973061</v>
      </c>
      <c r="AN6" s="48">
        <f aca="true" t="shared" si="32" ref="AN6:AN22">AL180/2*AL$223*5</f>
        <v>8720.89273844828</v>
      </c>
      <c r="AO6" s="3">
        <f aca="true" t="shared" si="33" ref="AO6:AO21">(AL5-AM5+AN5)*AL48</f>
        <v>2519218.2465336127</v>
      </c>
      <c r="AP6" s="3">
        <f>AO6*AL138/1000*Table!AL$225</f>
        <v>2746.7673046333343</v>
      </c>
      <c r="AQ6" s="103">
        <f aca="true" t="shared" si="34" ref="AQ6:AQ22">AL180/2*AL$223*5</f>
        <v>8720.89273844828</v>
      </c>
      <c r="AR6" s="3">
        <f t="shared" si="9"/>
        <v>2525192.371967428</v>
      </c>
      <c r="AS6" s="3">
        <f>AR6*AR138/1000*Table!AR$225</f>
        <v>2781.3418668332442</v>
      </c>
      <c r="AT6" s="48">
        <f aca="true" t="shared" si="35" ref="AT6:AT22">AR180/2*AR$223*5</f>
        <v>95180.11755272452</v>
      </c>
      <c r="AU6" s="3">
        <f aca="true" t="shared" si="36" ref="AU6:AU21">(AR5-AS5+AT5)*AR48</f>
        <v>2554682.7653993377</v>
      </c>
      <c r="AV6" s="3">
        <f>AU6*AR138/1000*Table!AR$225</f>
        <v>2813.823695478105</v>
      </c>
      <c r="AW6" s="103">
        <f aca="true" t="shared" si="37" ref="AW6:AW22">AR180/2*AR$223*5</f>
        <v>95180.11755272452</v>
      </c>
      <c r="AX6" s="3">
        <f t="shared" si="10"/>
        <v>2647049.0592565844</v>
      </c>
      <c r="AY6" s="3">
        <f>AX6*AX138/1000*Table!AX$225</f>
        <v>2909.8064921736927</v>
      </c>
      <c r="AZ6" s="48">
        <f aca="true" t="shared" si="38" ref="AZ6:AZ22">AX180/2*AX$223*5</f>
        <v>96736.55845896146</v>
      </c>
      <c r="BA6" s="3">
        <f aca="true" t="shared" si="39" ref="BA6:BA21">(AX5-AY5+AZ5)*AX48</f>
        <v>2626253.581046589</v>
      </c>
      <c r="BB6" s="3">
        <f>BA6*AX138/1000*Table!AX$225</f>
        <v>2886.9467656825277</v>
      </c>
      <c r="BC6" s="103">
        <f aca="true" t="shared" si="40" ref="BC6:BC22">AX180/2*AX$223*5</f>
        <v>96736.55845896146</v>
      </c>
      <c r="BD6" s="3">
        <f t="shared" si="11"/>
        <v>2720103.192739868</v>
      </c>
      <c r="BE6" s="3">
        <f>BD6*BD138/1000*Table!BD$225</f>
        <v>2975.9842098535173</v>
      </c>
      <c r="BF6" s="48">
        <f aca="true" t="shared" si="41" ref="BF6:BF22">BD180/2*BD$223*5</f>
        <v>9648.960444963348</v>
      </c>
      <c r="BG6" s="3">
        <f aca="true" t="shared" si="42" ref="BG6:BG21">(BD5-BE5+BF5)*BD48</f>
        <v>2515155.722199462</v>
      </c>
      <c r="BH6" s="3">
        <f>BG6*BD138/1000*Table!BD$225</f>
        <v>2751.7572622121247</v>
      </c>
      <c r="BI6" s="103">
        <f aca="true" t="shared" si="43" ref="BI6:BI22">BD180/2*BD$223*5</f>
        <v>9648.960444963348</v>
      </c>
      <c r="BJ6" s="3">
        <f t="shared" si="12"/>
        <v>2522052.925382213</v>
      </c>
      <c r="BL6">
        <v>6</v>
      </c>
      <c r="BO6" s="37" t="s">
        <v>102</v>
      </c>
      <c r="BP6" s="3">
        <f ca="1">INDIRECT(Table!$D$8&amp;Calculate!BL6)/1000</f>
        <v>2522.0529253822133</v>
      </c>
      <c r="BR6" s="37" t="s">
        <v>103</v>
      </c>
      <c r="BS6" s="3">
        <f ca="1">INDIRECT(Table!$D$8&amp;Calculate!BL27)/1000</f>
        <v>2370.505590256461</v>
      </c>
      <c r="BT6" s="3">
        <v>0</v>
      </c>
      <c r="BW6" s="48">
        <v>6329.362</v>
      </c>
      <c r="BX6" s="49">
        <v>7052.878435121986</v>
      </c>
      <c r="BY6" s="49">
        <v>7576.735780826901</v>
      </c>
      <c r="BZ6" s="49">
        <v>7182.517424012743</v>
      </c>
      <c r="CA6" s="49">
        <v>6162.367430350549</v>
      </c>
      <c r="CB6" s="49">
        <v>5279.690542842253</v>
      </c>
      <c r="CC6" s="49">
        <v>4909.659349335771</v>
      </c>
      <c r="CD6" s="49">
        <v>4832.729642735245</v>
      </c>
      <c r="CE6" s="49">
        <v>4684.48084616223</v>
      </c>
      <c r="CF6" s="49">
        <v>4331.51764048591</v>
      </c>
      <c r="CG6" s="49">
        <v>3904.7511763875705</v>
      </c>
    </row>
    <row r="7" spans="1:85" ht="12.75">
      <c r="A7" s="16" t="s">
        <v>37</v>
      </c>
      <c r="B7" s="26">
        <v>5883668</v>
      </c>
      <c r="C7" s="3">
        <f>B7*B139/1000*Table!B$225</f>
        <v>10520.77441592511</v>
      </c>
      <c r="D7" s="3">
        <f t="shared" si="14"/>
        <v>20862.32959119656</v>
      </c>
      <c r="E7" s="3">
        <f t="shared" si="15"/>
        <v>3915369.0576421455</v>
      </c>
      <c r="F7" s="3">
        <f>E7*B139/1000*Table!B$225</f>
        <v>7001.196296348858</v>
      </c>
      <c r="G7" s="103">
        <f t="shared" si="16"/>
        <v>20862.32959119656</v>
      </c>
      <c r="H7" s="3">
        <f t="shared" si="3"/>
        <v>3929230.1909369933</v>
      </c>
      <c r="I7" s="3">
        <f>H7*H139/1000*Table!H$225</f>
        <v>4520.281989606598</v>
      </c>
      <c r="J7" s="48">
        <f t="shared" si="17"/>
        <v>9681.399258113648</v>
      </c>
      <c r="K7" s="3">
        <f t="shared" si="18"/>
        <v>3241467.4313768065</v>
      </c>
      <c r="L7" s="3">
        <f>K7*H139/1000*Table!H$225</f>
        <v>3729.062981279503</v>
      </c>
      <c r="M7" s="103">
        <f t="shared" si="19"/>
        <v>9681.399258113648</v>
      </c>
      <c r="N7" s="3">
        <f t="shared" si="4"/>
        <v>3247419.7676536404</v>
      </c>
      <c r="O7" s="3">
        <f>N7*N139/1000*Table!N$225</f>
        <v>2900.992172270405</v>
      </c>
      <c r="P7" s="48">
        <f t="shared" si="20"/>
        <v>7003.706511487942</v>
      </c>
      <c r="Q7" s="3">
        <f t="shared" si="21"/>
        <v>3577549.639375673</v>
      </c>
      <c r="R7" s="3">
        <f>Q7*N139/1000*Table!N$225</f>
        <v>3195.9045156753414</v>
      </c>
      <c r="S7" s="103">
        <f t="shared" si="22"/>
        <v>7003.706511487942</v>
      </c>
      <c r="T7" s="3">
        <f t="shared" si="5"/>
        <v>3581357.4413714856</v>
      </c>
      <c r="U7" s="3">
        <f>T7*T139/1000*Table!T$225</f>
        <v>2929.5596849495537</v>
      </c>
      <c r="V7" s="48">
        <f t="shared" si="23"/>
        <v>7471.039078979176</v>
      </c>
      <c r="W7" s="3">
        <f t="shared" si="24"/>
        <v>3853380.084425788</v>
      </c>
      <c r="X7" s="3">
        <f>W7*T139/1000*Table!T$225</f>
        <v>3152.0749131922094</v>
      </c>
      <c r="Y7" s="103">
        <f t="shared" si="25"/>
        <v>7471.039078979176</v>
      </c>
      <c r="Z7" s="3">
        <f t="shared" si="6"/>
        <v>3857699.048591575</v>
      </c>
      <c r="AA7" s="3">
        <f>Z7*Z139/1000*Table!Z$225</f>
        <v>3174.9642019017433</v>
      </c>
      <c r="AB7" s="48">
        <f t="shared" si="26"/>
        <v>8184.71893746867</v>
      </c>
      <c r="AC7" s="3">
        <f t="shared" si="27"/>
        <v>3666177.9497239375</v>
      </c>
      <c r="AD7" s="3">
        <f>AC7*Z139/1000*Table!Z$225</f>
        <v>3017.338470823618</v>
      </c>
      <c r="AE7" s="103">
        <f t="shared" si="28"/>
        <v>8184.71893746867</v>
      </c>
      <c r="AF7" s="3">
        <f t="shared" si="7"/>
        <v>3671345.3301905827</v>
      </c>
      <c r="AG7" s="3">
        <f>AF7*AF139/1000*Table!AF$225</f>
        <v>3074.3230230916993</v>
      </c>
      <c r="AH7" s="48">
        <f t="shared" si="29"/>
        <v>8110.131082894328</v>
      </c>
      <c r="AI7" s="3">
        <f t="shared" si="30"/>
        <v>3156904.3208349785</v>
      </c>
      <c r="AJ7" s="3">
        <f>AI7*AF139/1000*Table!AF$225</f>
        <v>2643.538747344376</v>
      </c>
      <c r="AK7" s="103">
        <f t="shared" si="31"/>
        <v>8110.131082894328</v>
      </c>
      <c r="AL7" s="3">
        <f t="shared" si="8"/>
        <v>3162370.9131705286</v>
      </c>
      <c r="AM7" s="3">
        <f>AL7*AL139/1000*Table!AL$225</f>
        <v>2661.083743120468</v>
      </c>
      <c r="AN7" s="48">
        <f t="shared" si="32"/>
        <v>7168.758443293529</v>
      </c>
      <c r="AO7" s="3">
        <f t="shared" si="33"/>
        <v>2712444.2734154062</v>
      </c>
      <c r="AP7" s="3">
        <f>AO7*AL139/1000*Table!AL$225</f>
        <v>2282.4777859056658</v>
      </c>
      <c r="AQ7" s="103">
        <f t="shared" si="34"/>
        <v>7168.758443293529</v>
      </c>
      <c r="AR7" s="3">
        <f t="shared" si="9"/>
        <v>2717330.554072794</v>
      </c>
      <c r="AS7" s="3">
        <f>AR7*AR139/1000*Table!AR$225</f>
        <v>2309.8939186559114</v>
      </c>
      <c r="AT7" s="48">
        <f t="shared" si="35"/>
        <v>86632.46315545795</v>
      </c>
      <c r="AU7" s="3">
        <f t="shared" si="36"/>
        <v>2613375.9839152466</v>
      </c>
      <c r="AV7" s="3">
        <f>AU7*AR139/1000*Table!AR$225</f>
        <v>2221.526300272677</v>
      </c>
      <c r="AW7" s="103">
        <f t="shared" si="37"/>
        <v>86632.46315545795</v>
      </c>
      <c r="AX7" s="3">
        <f t="shared" si="10"/>
        <v>2697786.9207704314</v>
      </c>
      <c r="AY7" s="3">
        <f>AX7*AX139/1000*Table!AX$225</f>
        <v>2288.755610472839</v>
      </c>
      <c r="AZ7" s="48">
        <f t="shared" si="38"/>
        <v>88839.32667189388</v>
      </c>
      <c r="BA7" s="3">
        <f t="shared" si="39"/>
        <v>2736833.635541087</v>
      </c>
      <c r="BB7" s="3">
        <f>BA7*AX139/1000*Table!AX$225</f>
        <v>2321.8821657296007</v>
      </c>
      <c r="BC7" s="103">
        <f t="shared" si="40"/>
        <v>88839.32667189388</v>
      </c>
      <c r="BD7" s="3">
        <f t="shared" si="11"/>
        <v>2823351.080047251</v>
      </c>
      <c r="BE7" s="3">
        <f>BD7*BD139/1000*Table!BD$225</f>
        <v>2383.964515564619</v>
      </c>
      <c r="BF7" s="48">
        <f t="shared" si="41"/>
        <v>9024.621629087154</v>
      </c>
      <c r="BG7" s="3">
        <f t="shared" si="42"/>
        <v>2723095.1417305022</v>
      </c>
      <c r="BH7" s="3">
        <f>BG7*BD139/1000*Table!BD$225</f>
        <v>2299.3109982918877</v>
      </c>
      <c r="BI7" s="103">
        <f t="shared" si="43"/>
        <v>9024.621629087154</v>
      </c>
      <c r="BJ7" s="3">
        <f t="shared" si="12"/>
        <v>2729820.452361298</v>
      </c>
      <c r="BL7">
        <v>7</v>
      </c>
      <c r="BO7" s="14" t="s">
        <v>37</v>
      </c>
      <c r="BP7" s="3">
        <f ca="1">INDIRECT(Table!$D$8&amp;Calculate!BL7)/1000</f>
        <v>2729.8204523612976</v>
      </c>
      <c r="BR7" s="14" t="s">
        <v>37</v>
      </c>
      <c r="BS7" s="3">
        <f ca="1">INDIRECT(Table!$D$8&amp;Calculate!BL28)/1000</f>
        <v>2570.546294934124</v>
      </c>
      <c r="BT7" s="3">
        <v>0</v>
      </c>
      <c r="BW7" s="48">
        <v>10456.42</v>
      </c>
      <c r="BX7" s="49">
        <v>10765.949692318307</v>
      </c>
      <c r="BY7" s="49">
        <v>10927.520389723251</v>
      </c>
      <c r="BZ7" s="49">
        <v>11116.962507521497</v>
      </c>
      <c r="CA7" s="49">
        <v>10828.681016401726</v>
      </c>
      <c r="CB7" s="49">
        <v>10745.963480482453</v>
      </c>
      <c r="CC7" s="49">
        <v>10473.633823030485</v>
      </c>
      <c r="CD7" s="49">
        <v>10658.201028019534</v>
      </c>
      <c r="CE7" s="49">
        <v>10616.066684374626</v>
      </c>
      <c r="CF7" s="49">
        <v>10313.780002399933</v>
      </c>
      <c r="CG7" s="49">
        <v>9801.830497636533</v>
      </c>
    </row>
    <row r="8" spans="1:85" ht="12.75">
      <c r="A8" s="16" t="s">
        <v>38</v>
      </c>
      <c r="B8" s="26">
        <v>6061805</v>
      </c>
      <c r="C8" s="3">
        <f>B8*B140/1000*Table!B$225</f>
        <v>13248.637530767639</v>
      </c>
      <c r="D8" s="3">
        <f t="shared" si="14"/>
        <v>21037.98203450762</v>
      </c>
      <c r="E8" s="3">
        <f t="shared" si="15"/>
        <v>5855370.002669498</v>
      </c>
      <c r="F8" s="3">
        <f>E8*B140/1000*Table!B$225</f>
        <v>12797.45468122088</v>
      </c>
      <c r="G8" s="103">
        <f t="shared" si="16"/>
        <v>21037.98203450762</v>
      </c>
      <c r="H8" s="3">
        <f t="shared" si="3"/>
        <v>5863610.530022785</v>
      </c>
      <c r="I8" s="3">
        <f>H8*H140/1000*Table!H$225</f>
        <v>8245.04212488306</v>
      </c>
      <c r="J8" s="48">
        <f t="shared" si="17"/>
        <v>14141.10181180651</v>
      </c>
      <c r="K8" s="3">
        <f t="shared" si="18"/>
        <v>3910784.1291000918</v>
      </c>
      <c r="L8" s="3">
        <f>K8*H140/1000*Table!H$225</f>
        <v>5499.099866994248</v>
      </c>
      <c r="M8" s="103">
        <f t="shared" si="19"/>
        <v>14141.10181180651</v>
      </c>
      <c r="N8" s="3">
        <f t="shared" si="4"/>
        <v>3919426.1310449042</v>
      </c>
      <c r="O8" s="3">
        <f>N8*N140/1000*Table!N$225</f>
        <v>4279.571804204998</v>
      </c>
      <c r="P8" s="48">
        <f t="shared" si="20"/>
        <v>8273.694240903771</v>
      </c>
      <c r="Q8" s="3">
        <f t="shared" si="21"/>
        <v>3232452.4505719985</v>
      </c>
      <c r="R8" s="3">
        <f>Q8*N140/1000*Table!N$225</f>
        <v>3529.473934035674</v>
      </c>
      <c r="S8" s="103">
        <f t="shared" si="22"/>
        <v>8273.694240903771</v>
      </c>
      <c r="T8" s="3">
        <f t="shared" si="5"/>
        <v>3237196.6708788667</v>
      </c>
      <c r="U8" s="3">
        <f>T8*T140/1000*Table!T$225</f>
        <v>3236.6331203600016</v>
      </c>
      <c r="V8" s="48">
        <f t="shared" si="23"/>
        <v>6609.824057549064</v>
      </c>
      <c r="W8" s="3">
        <f t="shared" si="24"/>
        <v>3565984.200446801</v>
      </c>
      <c r="X8" s="3">
        <f>W8*T140/1000*Table!T$225</f>
        <v>3565.3634126322986</v>
      </c>
      <c r="Y8" s="103">
        <f t="shared" si="25"/>
        <v>6609.824057549064</v>
      </c>
      <c r="Z8" s="3">
        <f t="shared" si="6"/>
        <v>3569028.661091718</v>
      </c>
      <c r="AA8" s="3">
        <f>Z8*Z140/1000*Table!Z$225</f>
        <v>3590.295802774166</v>
      </c>
      <c r="AB8" s="48">
        <f t="shared" si="26"/>
        <v>7411.616452317862</v>
      </c>
      <c r="AC8" s="3">
        <f t="shared" si="27"/>
        <v>3842447.6052329224</v>
      </c>
      <c r="AD8" s="3">
        <f>AC8*Z140/1000*Table!Z$225</f>
        <v>3865.3439967690088</v>
      </c>
      <c r="AE8" s="103">
        <f t="shared" si="28"/>
        <v>7411.616452317862</v>
      </c>
      <c r="AF8" s="3">
        <f t="shared" si="7"/>
        <v>3845993.877688471</v>
      </c>
      <c r="AG8" s="3">
        <f>AF8*AF140/1000*Table!AF$225</f>
        <v>3936.4302109427817</v>
      </c>
      <c r="AH8" s="48">
        <f t="shared" si="29"/>
        <v>8315.697840024806</v>
      </c>
      <c r="AI8" s="3">
        <f t="shared" si="30"/>
        <v>3658261.0251829536</v>
      </c>
      <c r="AJ8" s="3">
        <f>AI8*AF140/1000*Table!AF$225</f>
        <v>3744.2829284220566</v>
      </c>
      <c r="AK8" s="103">
        <f t="shared" si="31"/>
        <v>8315.697840024806</v>
      </c>
      <c r="AL8" s="3">
        <f t="shared" si="8"/>
        <v>3662832.440094556</v>
      </c>
      <c r="AM8" s="3">
        <f>AL8*AL140/1000*Table!AL$225</f>
        <v>3767.3198483086503</v>
      </c>
      <c r="AN8" s="48">
        <f t="shared" si="32"/>
        <v>8127.101178034941</v>
      </c>
      <c r="AO8" s="3">
        <f t="shared" si="33"/>
        <v>3152284.73076375</v>
      </c>
      <c r="AP8" s="3">
        <f>AO8*AL140/1000*Table!AL$225</f>
        <v>3242.208052907819</v>
      </c>
      <c r="AQ8" s="103">
        <f t="shared" si="34"/>
        <v>8127.101178034941</v>
      </c>
      <c r="AR8" s="3">
        <f t="shared" si="9"/>
        <v>3157169.6238888777</v>
      </c>
      <c r="AS8" s="3">
        <f>AR8*AR140/1000*Table!AR$225</f>
        <v>3280.327356972938</v>
      </c>
      <c r="AT8" s="48">
        <f t="shared" si="35"/>
        <v>92925.57360856452</v>
      </c>
      <c r="AU8" s="3">
        <f t="shared" si="36"/>
        <v>2789636.792637354</v>
      </c>
      <c r="AV8" s="3">
        <f>AU8*AR140/1000*Table!AR$225</f>
        <v>2898.4574720552428</v>
      </c>
      <c r="AW8" s="103">
        <f t="shared" si="37"/>
        <v>92925.57360856452</v>
      </c>
      <c r="AX8" s="3">
        <f t="shared" si="10"/>
        <v>2879663.9087738637</v>
      </c>
      <c r="AY8" s="3">
        <f>AX8*AX140/1000*Table!AX$225</f>
        <v>2986.0927098792986</v>
      </c>
      <c r="AZ8" s="48">
        <f t="shared" si="38"/>
        <v>94139.18168401471</v>
      </c>
      <c r="BA8" s="3">
        <f t="shared" si="39"/>
        <v>2773263.4786336026</v>
      </c>
      <c r="BB8" s="3">
        <f>BA8*AX140/1000*Table!AX$225</f>
        <v>2875.759852005916</v>
      </c>
      <c r="BC8" s="103">
        <f t="shared" si="40"/>
        <v>94139.18168401471</v>
      </c>
      <c r="BD8" s="3">
        <f t="shared" si="11"/>
        <v>2864526.9004656114</v>
      </c>
      <c r="BE8" s="3">
        <f>BD8*BD140/1000*Table!BD$225</f>
        <v>2956.361331356459</v>
      </c>
      <c r="BF8" s="48">
        <f t="shared" si="41"/>
        <v>9089.668065925605</v>
      </c>
      <c r="BG8" s="3">
        <f t="shared" si="42"/>
        <v>2819587.730462896</v>
      </c>
      <c r="BH8" s="3">
        <f>BG8*BD140/1000*Table!BD$225</f>
        <v>2909.9814476703655</v>
      </c>
      <c r="BI8" s="103">
        <f t="shared" si="43"/>
        <v>9089.668065925605</v>
      </c>
      <c r="BJ8" s="3">
        <f t="shared" si="12"/>
        <v>2825767.4170811516</v>
      </c>
      <c r="BL8">
        <v>8</v>
      </c>
      <c r="BO8" s="14" t="s">
        <v>38</v>
      </c>
      <c r="BP8" s="3">
        <f ca="1">INDIRECT(Table!$D$8&amp;Calculate!BL8)/1000</f>
        <v>2825.7674170811515</v>
      </c>
      <c r="BR8" s="14" t="s">
        <v>38</v>
      </c>
      <c r="BS8" s="3">
        <f ca="1">INDIRECT(Table!$D$8&amp;Calculate!BL29)/1000</f>
        <v>2668.463968600596</v>
      </c>
      <c r="BT8" s="3">
        <v>0</v>
      </c>
      <c r="BW8" s="48">
        <v>2446.152</v>
      </c>
      <c r="BX8" s="49">
        <v>1134.3886159016738</v>
      </c>
      <c r="BY8" s="49">
        <v>781.902404500584</v>
      </c>
      <c r="BZ8" s="49">
        <v>678.8581752126854</v>
      </c>
      <c r="CA8" s="49">
        <v>638.9521067514222</v>
      </c>
      <c r="CB8" s="49">
        <v>615.628654033256</v>
      </c>
      <c r="CC8" s="49">
        <v>597.6143032669132</v>
      </c>
      <c r="CD8" s="49">
        <v>582.0957697177666</v>
      </c>
      <c r="CE8" s="49">
        <v>567.7464324918913</v>
      </c>
      <c r="CF8" s="49">
        <v>553.8588887075296</v>
      </c>
      <c r="CG8" s="49">
        <v>540.5463243454042</v>
      </c>
    </row>
    <row r="9" spans="1:85" ht="12.75">
      <c r="A9" s="16" t="s">
        <v>39</v>
      </c>
      <c r="B9" s="26">
        <v>5471016</v>
      </c>
      <c r="C9" s="3">
        <f>B9*B141/1000*Table!B$225</f>
        <v>17539.841745819605</v>
      </c>
      <c r="D9" s="3">
        <f t="shared" si="14"/>
        <v>31124.66265354255</v>
      </c>
      <c r="E9" s="3">
        <f t="shared" si="15"/>
        <v>5973577.521759145</v>
      </c>
      <c r="F9" s="3">
        <f>E9*B141/1000*Table!B$225</f>
        <v>19151.03234719852</v>
      </c>
      <c r="G9" s="103">
        <f t="shared" si="16"/>
        <v>31124.66265354255</v>
      </c>
      <c r="H9" s="3">
        <f t="shared" si="3"/>
        <v>5985551.1520654885</v>
      </c>
      <c r="I9" s="3">
        <f>H9*H141/1000*Table!H$225</f>
        <v>12345.831301190548</v>
      </c>
      <c r="J9" s="48">
        <f t="shared" si="17"/>
        <v>23662.29309091132</v>
      </c>
      <c r="K9" s="3">
        <f t="shared" si="18"/>
        <v>5784313.10637668</v>
      </c>
      <c r="L9" s="3">
        <f>K9*H141/1000*Table!H$225</f>
        <v>11930.756582031569</v>
      </c>
      <c r="M9" s="103">
        <f t="shared" si="19"/>
        <v>23662.29309091132</v>
      </c>
      <c r="N9" s="3">
        <f t="shared" si="4"/>
        <v>5796044.642885559</v>
      </c>
      <c r="O9" s="3">
        <f>N9*N141/1000*Table!N$225</f>
        <v>9283.205930326356</v>
      </c>
      <c r="P9" s="48">
        <f t="shared" si="20"/>
        <v>20055.950782488948</v>
      </c>
      <c r="Q9" s="3">
        <f t="shared" si="21"/>
        <v>3867722.415979827</v>
      </c>
      <c r="R9" s="3">
        <f>Q9*N141/1000*Table!N$225</f>
        <v>6194.7182744618885</v>
      </c>
      <c r="S9" s="103">
        <f t="shared" si="22"/>
        <v>20055.950782488948</v>
      </c>
      <c r="T9" s="3">
        <f t="shared" si="5"/>
        <v>3881583.648487854</v>
      </c>
      <c r="U9" s="3">
        <f>T9*T141/1000*Table!T$225</f>
        <v>5692.745484047399</v>
      </c>
      <c r="V9" s="48">
        <f t="shared" si="23"/>
        <v>12991.650055700055</v>
      </c>
      <c r="W9" s="3">
        <f t="shared" si="24"/>
        <v>3196943.8686673664</v>
      </c>
      <c r="X9" s="3">
        <f>W9*T141/1000*Table!T$225</f>
        <v>4688.6501539646315</v>
      </c>
      <c r="Y9" s="103">
        <f t="shared" si="25"/>
        <v>12991.650055700055</v>
      </c>
      <c r="Z9" s="3">
        <f t="shared" si="6"/>
        <v>3205246.8685691017</v>
      </c>
      <c r="AA9" s="3">
        <f>Z9*Z141/1000*Table!Z$225</f>
        <v>4729.662041448473</v>
      </c>
      <c r="AB9" s="48">
        <f t="shared" si="26"/>
        <v>10910.858799999143</v>
      </c>
      <c r="AC9" s="3">
        <f t="shared" si="27"/>
        <v>3527351.977378865</v>
      </c>
      <c r="AD9" s="3">
        <f>AC9*Z141/1000*Table!Z$225</f>
        <v>5204.960316109692</v>
      </c>
      <c r="AE9" s="103">
        <f t="shared" si="28"/>
        <v>10910.858799999143</v>
      </c>
      <c r="AF9" s="3">
        <f t="shared" si="7"/>
        <v>3533057.8758627544</v>
      </c>
      <c r="AG9" s="3">
        <f>AF9*AF141/1000*Table!AF$225</f>
        <v>5304.3619171177115</v>
      </c>
      <c r="AH9" s="48">
        <f t="shared" si="29"/>
        <v>12522.049418666931</v>
      </c>
      <c r="AI9" s="3">
        <f t="shared" si="30"/>
        <v>3804225.489651293</v>
      </c>
      <c r="AJ9" s="3">
        <f>AI9*AF141/1000*Table!AF$225</f>
        <v>5711.479834308458</v>
      </c>
      <c r="AK9" s="103">
        <f t="shared" si="31"/>
        <v>12522.049418666931</v>
      </c>
      <c r="AL9" s="3">
        <f t="shared" si="8"/>
        <v>3811036.0592356515</v>
      </c>
      <c r="AM9" s="3">
        <f>AL9*AL141/1000*Table!AL$225</f>
        <v>5749.723082192854</v>
      </c>
      <c r="AN9" s="48">
        <f t="shared" si="32"/>
        <v>13861.052946489464</v>
      </c>
      <c r="AO9" s="3">
        <f t="shared" si="33"/>
        <v>3626027.797154594</v>
      </c>
      <c r="AP9" s="3">
        <f>AO9*AL141/1000*Table!AL$225</f>
        <v>5470.60048709015</v>
      </c>
      <c r="AQ9" s="103">
        <f t="shared" si="34"/>
        <v>13861.052946489464</v>
      </c>
      <c r="AR9" s="3">
        <f t="shared" si="9"/>
        <v>3634418.2496139933</v>
      </c>
      <c r="AS9" s="3">
        <f>AR9*AR141/1000*Table!AR$225</f>
        <v>5539.143337984101</v>
      </c>
      <c r="AT9" s="48">
        <f t="shared" si="35"/>
        <v>129267.7147333766</v>
      </c>
      <c r="AU9" s="3">
        <f t="shared" si="36"/>
        <v>3212833.410416086</v>
      </c>
      <c r="AV9" s="3">
        <f>AU9*AR141/1000*Table!AR$225</f>
        <v>4896.614412292566</v>
      </c>
      <c r="AW9" s="103">
        <f t="shared" si="37"/>
        <v>129267.7147333766</v>
      </c>
      <c r="AX9" s="3">
        <f t="shared" si="10"/>
        <v>3337204.5107371705</v>
      </c>
      <c r="AY9" s="3">
        <f>AX9*AX141/1000*Table!AX$225</f>
        <v>5076.129986602591</v>
      </c>
      <c r="AZ9" s="48">
        <f t="shared" si="38"/>
        <v>127463.00512206815</v>
      </c>
      <c r="BA9" s="3">
        <f t="shared" si="39"/>
        <v>2941931.0897412905</v>
      </c>
      <c r="BB9" s="3">
        <f>BA9*AX141/1000*Table!AX$225</f>
        <v>4474.890458497986</v>
      </c>
      <c r="BC9" s="103">
        <f t="shared" si="40"/>
        <v>127463.00512206815</v>
      </c>
      <c r="BD9" s="3">
        <f t="shared" si="11"/>
        <v>3064919.2044048607</v>
      </c>
      <c r="BE9" s="3">
        <f>BD9*BD141/1000*Table!BD$225</f>
        <v>4639.936824821684</v>
      </c>
      <c r="BF9" s="48">
        <f t="shared" si="41"/>
        <v>11362.839319258277</v>
      </c>
      <c r="BG9" s="3">
        <f t="shared" si="42"/>
        <v>2844811.3838616055</v>
      </c>
      <c r="BH9" s="3">
        <f>BG9*BD141/1000*Table!BD$225</f>
        <v>4306.718780932594</v>
      </c>
      <c r="BI9" s="103">
        <f t="shared" si="43"/>
        <v>11362.839319258277</v>
      </c>
      <c r="BJ9" s="3">
        <f t="shared" si="12"/>
        <v>2851867.5043999315</v>
      </c>
      <c r="BL9">
        <v>9</v>
      </c>
      <c r="BO9" s="14" t="s">
        <v>39</v>
      </c>
      <c r="BP9" s="3">
        <f ca="1">INDIRECT(Table!$D$8&amp;Calculate!BL9)/1000</f>
        <v>2851.8675043999315</v>
      </c>
      <c r="BR9" s="14" t="s">
        <v>39</v>
      </c>
      <c r="BS9" s="3">
        <f ca="1">INDIRECT(Table!$D$8&amp;Calculate!BL30)/1000</f>
        <v>2712.6027498194244</v>
      </c>
      <c r="BT9" s="3">
        <v>0</v>
      </c>
      <c r="BW9" s="48">
        <v>1097.027</v>
      </c>
      <c r="BX9" s="49">
        <v>585.4170671008691</v>
      </c>
      <c r="BY9" s="49">
        <v>370.1357022083645</v>
      </c>
      <c r="BZ9" s="49">
        <v>279.1684022393304</v>
      </c>
      <c r="CA9" s="49">
        <v>242.58230822166468</v>
      </c>
      <c r="CB9" s="49">
        <v>229.05440575272056</v>
      </c>
      <c r="CC9" s="49">
        <v>219.8785093387829</v>
      </c>
      <c r="CD9" s="49">
        <v>210.39716226126984</v>
      </c>
      <c r="CE9" s="49">
        <v>200.5484393534092</v>
      </c>
      <c r="CF9" s="49">
        <v>190.47118060062016</v>
      </c>
      <c r="CG9" s="49">
        <v>180.58532506848138</v>
      </c>
    </row>
    <row r="10" spans="1:85" ht="12.75">
      <c r="A10" s="16" t="s">
        <v>40</v>
      </c>
      <c r="B10" s="26">
        <v>5242487</v>
      </c>
      <c r="C10" s="3">
        <f>B10*B142/1000*Table!B$225</f>
        <v>18310.25093496369</v>
      </c>
      <c r="D10" s="3">
        <f t="shared" si="14"/>
        <v>32777.72687789661</v>
      </c>
      <c r="E10" s="3">
        <f t="shared" si="15"/>
        <v>5356779.32647619</v>
      </c>
      <c r="F10" s="3">
        <f>E10*B142/1000*Table!B$225</f>
        <v>18709.43574509671</v>
      </c>
      <c r="G10" s="103">
        <f t="shared" si="16"/>
        <v>32777.72687789661</v>
      </c>
      <c r="H10" s="3">
        <f t="shared" si="3"/>
        <v>5370847.6176089905</v>
      </c>
      <c r="I10" s="3">
        <f>H10*H142/1000*Table!H$225</f>
        <v>12068.638273552771</v>
      </c>
      <c r="J10" s="48">
        <f t="shared" si="17"/>
        <v>23334.59756369848</v>
      </c>
      <c r="K10" s="3">
        <f t="shared" si="18"/>
        <v>5868404.140670706</v>
      </c>
      <c r="L10" s="3">
        <f>K10*H142/1000*Table!H$225</f>
        <v>13186.679619166614</v>
      </c>
      <c r="M10" s="103">
        <f t="shared" si="19"/>
        <v>23334.59756369848</v>
      </c>
      <c r="N10" s="3">
        <f t="shared" si="4"/>
        <v>5878552.0586152375</v>
      </c>
      <c r="O10" s="3">
        <f>N10*N142/1000*Table!N$225</f>
        <v>10257.366645086204</v>
      </c>
      <c r="P10" s="48">
        <f t="shared" si="20"/>
        <v>22355.619215110397</v>
      </c>
      <c r="Q10" s="3">
        <f t="shared" si="21"/>
        <v>5685097.66974789</v>
      </c>
      <c r="R10" s="3">
        <f>Q10*N142/1000*Table!N$225</f>
        <v>9919.81199286443</v>
      </c>
      <c r="S10" s="103">
        <f t="shared" si="22"/>
        <v>22355.619215110397</v>
      </c>
      <c r="T10" s="3">
        <f t="shared" si="5"/>
        <v>5697533.476970136</v>
      </c>
      <c r="U10" s="3">
        <f>T10*T142/1000*Table!T$225</f>
        <v>9103.302022345551</v>
      </c>
      <c r="V10" s="48">
        <f t="shared" si="23"/>
        <v>20957.865631712535</v>
      </c>
      <c r="W10" s="3">
        <f t="shared" si="24"/>
        <v>3811495.039602159</v>
      </c>
      <c r="X10" s="3">
        <f>W10*T142/1000*Table!T$225</f>
        <v>6089.861629145149</v>
      </c>
      <c r="Y10" s="103">
        <f t="shared" si="25"/>
        <v>20957.865631712535</v>
      </c>
      <c r="Z10" s="3">
        <f t="shared" si="6"/>
        <v>3826363.0436047264</v>
      </c>
      <c r="AA10" s="3">
        <f>Z10*Z142/1000*Table!Z$225</f>
        <v>6151.117828453932</v>
      </c>
      <c r="AB10" s="48">
        <f t="shared" si="26"/>
        <v>14314.903544834367</v>
      </c>
      <c r="AC10" s="3">
        <f t="shared" si="27"/>
        <v>3150909.4663313995</v>
      </c>
      <c r="AD10" s="3">
        <f>AC10*Z142/1000*Table!Z$225</f>
        <v>5065.283971574316</v>
      </c>
      <c r="AE10" s="103">
        <f t="shared" si="28"/>
        <v>14314.903544834367</v>
      </c>
      <c r="AF10" s="3">
        <f t="shared" si="7"/>
        <v>3160159.0859046597</v>
      </c>
      <c r="AG10" s="3">
        <f>AF10*AF142/1000*Table!AF$225</f>
        <v>5168.810269198936</v>
      </c>
      <c r="AH10" s="48">
        <f t="shared" si="29"/>
        <v>12309.443222167783</v>
      </c>
      <c r="AI10" s="3">
        <f t="shared" si="30"/>
        <v>3477407.8708520792</v>
      </c>
      <c r="AJ10" s="3">
        <f>AI10*AF142/1000*Table!AF$225</f>
        <v>5687.707809781987</v>
      </c>
      <c r="AK10" s="103">
        <f t="shared" si="31"/>
        <v>12309.443222167783</v>
      </c>
      <c r="AL10" s="3">
        <f t="shared" si="8"/>
        <v>3484029.606264465</v>
      </c>
      <c r="AM10" s="3">
        <f>AL10*AL142/1000*Table!AL$225</f>
        <v>5726.443180095701</v>
      </c>
      <c r="AN10" s="48">
        <f t="shared" si="32"/>
        <v>13926.430081829812</v>
      </c>
      <c r="AO10" s="3">
        <f t="shared" si="33"/>
        <v>3755546.025350303</v>
      </c>
      <c r="AP10" s="3">
        <f>AO10*AL142/1000*Table!AL$225</f>
        <v>6172.714745515939</v>
      </c>
      <c r="AQ10" s="103">
        <f t="shared" si="34"/>
        <v>13926.430081829812</v>
      </c>
      <c r="AR10" s="3">
        <f t="shared" si="9"/>
        <v>3763299.740686617</v>
      </c>
      <c r="AS10" s="3">
        <f>AR10*AR142/1000*Table!AR$225</f>
        <v>6248.499766116139</v>
      </c>
      <c r="AT10" s="48">
        <f t="shared" si="35"/>
        <v>142109.0056505328</v>
      </c>
      <c r="AU10" s="3">
        <f t="shared" si="36"/>
        <v>3699712.110075459</v>
      </c>
      <c r="AV10" s="3">
        <f>AU10*AR142/1000*Table!AR$225</f>
        <v>6142.920268765442</v>
      </c>
      <c r="AW10" s="103">
        <f t="shared" si="37"/>
        <v>142109.0056505328</v>
      </c>
      <c r="AX10" s="3">
        <f t="shared" si="10"/>
        <v>3835678.195457226</v>
      </c>
      <c r="AY10" s="3">
        <f>AX10*AX142/1000*Table!AX$225</f>
        <v>6356.108832026384</v>
      </c>
      <c r="AZ10" s="48">
        <f t="shared" si="38"/>
        <v>141024.97932244604</v>
      </c>
      <c r="BA10" s="3">
        <f t="shared" si="39"/>
        <v>3409544.902967887</v>
      </c>
      <c r="BB10" s="3">
        <f>BA10*AX142/1000*Table!AX$225</f>
        <v>5649.962631539641</v>
      </c>
      <c r="BC10" s="103">
        <f t="shared" si="40"/>
        <v>141024.97932244604</v>
      </c>
      <c r="BD10" s="3">
        <f t="shared" si="11"/>
        <v>3544919.9196587936</v>
      </c>
      <c r="BE10" s="3">
        <f>BD10*BD142/1000*Table!BD$225</f>
        <v>5846.537157254018</v>
      </c>
      <c r="BF10" s="48">
        <f t="shared" si="41"/>
        <v>12651.057027204686</v>
      </c>
      <c r="BG10" s="3">
        <f t="shared" si="42"/>
        <v>3030430.935195602</v>
      </c>
      <c r="BH10" s="3">
        <f>BG10*BD142/1000*Table!BD$225</f>
        <v>4998.004882101393</v>
      </c>
      <c r="BI10" s="103">
        <f t="shared" si="43"/>
        <v>12651.057027204686</v>
      </c>
      <c r="BJ10" s="3">
        <f t="shared" si="12"/>
        <v>3038083.9873407055</v>
      </c>
      <c r="BL10">
        <v>10</v>
      </c>
      <c r="BO10" s="14" t="s">
        <v>40</v>
      </c>
      <c r="BP10" s="3">
        <f ca="1">INDIRECT(Table!$D$8&amp;Calculate!BL10)/1000</f>
        <v>3038.0839873407053</v>
      </c>
      <c r="BR10" s="14" t="s">
        <v>40</v>
      </c>
      <c r="BS10" s="3">
        <f ca="1">INDIRECT(Table!$D$8&amp;Calculate!BL31)/1000</f>
        <v>2921.9496164614293</v>
      </c>
      <c r="BT10" s="3">
        <v>0</v>
      </c>
      <c r="BW10" s="50">
        <v>144819.099</v>
      </c>
      <c r="BX10" s="50">
        <v>141654.99929160447</v>
      </c>
      <c r="BY10" s="50">
        <v>138715.9813850003</v>
      </c>
      <c r="BZ10" s="50">
        <v>135181.2260744649</v>
      </c>
      <c r="CA10" s="50">
        <v>130911.28228694352</v>
      </c>
      <c r="CB10" s="50">
        <v>125831.58359758384</v>
      </c>
      <c r="CC10" s="50">
        <v>120645.34491781727</v>
      </c>
      <c r="CD10" s="50">
        <v>115191.57213998948</v>
      </c>
      <c r="CE10" s="50">
        <v>109627.18429491561</v>
      </c>
      <c r="CF10" s="50">
        <v>104008.30964110846</v>
      </c>
      <c r="CG10" s="50">
        <v>98471.19131913644</v>
      </c>
    </row>
    <row r="11" spans="1:85" ht="12.75">
      <c r="A11" s="16" t="s">
        <v>41</v>
      </c>
      <c r="B11" s="26">
        <v>4834015</v>
      </c>
      <c r="C11" s="3">
        <f>B11*B143/1000*Table!B$225</f>
        <v>15248.798199623301</v>
      </c>
      <c r="D11" s="3">
        <f t="shared" si="14"/>
        <v>28391.473849770504</v>
      </c>
      <c r="E11" s="3">
        <f t="shared" si="15"/>
        <v>5108435.149037237</v>
      </c>
      <c r="F11" s="3">
        <f>E11*B143/1000*Table!B$225</f>
        <v>16114.450762674798</v>
      </c>
      <c r="G11" s="103">
        <f t="shared" si="16"/>
        <v>28391.473849770504</v>
      </c>
      <c r="H11" s="3">
        <f t="shared" si="3"/>
        <v>5120712.172124333</v>
      </c>
      <c r="I11" s="3">
        <f>H11*H143/1000*Table!H$225</f>
        <v>10392.415327862594</v>
      </c>
      <c r="J11" s="48">
        <f t="shared" si="17"/>
        <v>20899.039389479047</v>
      </c>
      <c r="K11" s="3">
        <f t="shared" si="18"/>
        <v>5242158.493262803</v>
      </c>
      <c r="L11" s="3">
        <f>K11*H143/1000*Table!H$225</f>
        <v>10638.888975841206</v>
      </c>
      <c r="M11" s="103">
        <f t="shared" si="19"/>
        <v>20899.039389479047</v>
      </c>
      <c r="N11" s="3">
        <f t="shared" si="4"/>
        <v>5252418.643676441</v>
      </c>
      <c r="O11" s="3">
        <f>N11*N143/1000*Table!N$225</f>
        <v>8277.430339475282</v>
      </c>
      <c r="P11" s="48">
        <f t="shared" si="20"/>
        <v>18763.512624272305</v>
      </c>
      <c r="Q11" s="3">
        <f t="shared" si="21"/>
        <v>5740710.814335779</v>
      </c>
      <c r="R11" s="3">
        <f>Q11*N143/1000*Table!N$225</f>
        <v>9046.943339511925</v>
      </c>
      <c r="S11" s="103">
        <f t="shared" si="22"/>
        <v>18763.512624272305</v>
      </c>
      <c r="T11" s="3">
        <f t="shared" si="5"/>
        <v>5750427.38362054</v>
      </c>
      <c r="U11" s="3">
        <f>T11*T143/1000*Table!T$225</f>
        <v>8298.180532475853</v>
      </c>
      <c r="V11" s="48">
        <f t="shared" si="23"/>
        <v>19870.041033804853</v>
      </c>
      <c r="W11" s="3">
        <f t="shared" si="24"/>
        <v>5571311.835569073</v>
      </c>
      <c r="X11" s="3">
        <f>W11*T143/1000*Table!T$225</f>
        <v>8039.707021769836</v>
      </c>
      <c r="Y11" s="103">
        <f t="shared" si="25"/>
        <v>19870.041033804853</v>
      </c>
      <c r="Z11" s="3">
        <f t="shared" si="6"/>
        <v>5583142.169581108</v>
      </c>
      <c r="AA11" s="3">
        <f>Z11*Z143/1000*Table!Z$225</f>
        <v>8106.198779501276</v>
      </c>
      <c r="AB11" s="48">
        <f t="shared" si="26"/>
        <v>19620.922125901718</v>
      </c>
      <c r="AC11" s="3">
        <f t="shared" si="27"/>
        <v>3746634.8511135043</v>
      </c>
      <c r="AD11" s="3">
        <f>AC11*Z143/1000*Table!Z$225</f>
        <v>5439.762401682116</v>
      </c>
      <c r="AE11" s="103">
        <f t="shared" si="28"/>
        <v>19620.922125901718</v>
      </c>
      <c r="AF11" s="3">
        <f t="shared" si="7"/>
        <v>3760816.0108377235</v>
      </c>
      <c r="AG11" s="3">
        <f>AF11*AF143/1000*Table!AF$225</f>
        <v>5555.644160190031</v>
      </c>
      <c r="AH11" s="48">
        <f t="shared" si="29"/>
        <v>13761.000954826217</v>
      </c>
      <c r="AI11" s="3">
        <f t="shared" si="30"/>
        <v>3098827.284449742</v>
      </c>
      <c r="AJ11" s="3">
        <f>AI11*AF143/1000*Table!AF$225</f>
        <v>4577.725061975546</v>
      </c>
      <c r="AK11" s="103">
        <f t="shared" si="31"/>
        <v>13761.000954826217</v>
      </c>
      <c r="AL11" s="3">
        <f t="shared" si="8"/>
        <v>3108010.560342593</v>
      </c>
      <c r="AM11" s="3">
        <f>AL11*AL143/1000*Table!AL$225</f>
        <v>4613.773753767608</v>
      </c>
      <c r="AN11" s="48">
        <f t="shared" si="32"/>
        <v>11670.216863851876</v>
      </c>
      <c r="AO11" s="3">
        <f t="shared" si="33"/>
        <v>3421361.3145891456</v>
      </c>
      <c r="AP11" s="3">
        <f>AO11*AL143/1000*Table!AL$225</f>
        <v>5078.936100418921</v>
      </c>
      <c r="AQ11" s="103">
        <f t="shared" si="34"/>
        <v>11670.216863851876</v>
      </c>
      <c r="AR11" s="3">
        <f t="shared" si="9"/>
        <v>3427952.5953525784</v>
      </c>
      <c r="AS11" s="3">
        <f>AR11*AR143/1000*Table!AR$225</f>
        <v>5140.58381175665</v>
      </c>
      <c r="AT11" s="48">
        <f t="shared" si="35"/>
        <v>120995.66460286948</v>
      </c>
      <c r="AU11" s="3">
        <f t="shared" si="36"/>
        <v>3825208.242514636</v>
      </c>
      <c r="AV11" s="3">
        <f>AU11*AR143/1000*Table!AR$225</f>
        <v>5736.311404868287</v>
      </c>
      <c r="AW11" s="103">
        <f t="shared" si="37"/>
        <v>120995.66460286948</v>
      </c>
      <c r="AX11" s="3">
        <f t="shared" si="10"/>
        <v>3940467.595712637</v>
      </c>
      <c r="AY11" s="3">
        <f>AX11*AX143/1000*Table!AX$225</f>
        <v>5897.495401217812</v>
      </c>
      <c r="AZ11" s="48">
        <f t="shared" si="38"/>
        <v>121572.2508366257</v>
      </c>
      <c r="BA11" s="3">
        <f t="shared" si="39"/>
        <v>3900216.884956306</v>
      </c>
      <c r="BB11" s="3">
        <f>BA11*AX143/1000*Table!AX$225</f>
        <v>5837.254230388369</v>
      </c>
      <c r="BC11" s="103">
        <f t="shared" si="40"/>
        <v>121572.2508366257</v>
      </c>
      <c r="BD11" s="3">
        <f t="shared" si="11"/>
        <v>4015951.881562543</v>
      </c>
      <c r="BE11" s="3">
        <f>BD11*BD143/1000*Table!BD$225</f>
        <v>5982.069787230239</v>
      </c>
      <c r="BF11" s="48">
        <f t="shared" si="41"/>
        <v>12026.567721065705</v>
      </c>
      <c r="BG11" s="3">
        <f t="shared" si="42"/>
        <v>3493478.2612571567</v>
      </c>
      <c r="BH11" s="3">
        <f>BG11*BD143/1000*Table!BD$225</f>
        <v>5203.805069218333</v>
      </c>
      <c r="BI11" s="103">
        <f t="shared" si="43"/>
        <v>12026.567721065705</v>
      </c>
      <c r="BJ11" s="3">
        <f t="shared" si="12"/>
        <v>3500301.023909004</v>
      </c>
      <c r="BL11">
        <v>11</v>
      </c>
      <c r="BO11" s="14" t="s">
        <v>41</v>
      </c>
      <c r="BP11" s="3">
        <f ca="1">INDIRECT(Table!$D$8&amp;Calculate!BL11)/1000</f>
        <v>3500.301023909004</v>
      </c>
      <c r="BR11" s="14" t="s">
        <v>41</v>
      </c>
      <c r="BS11" s="3">
        <f ca="1">INDIRECT(Table!$D$8&amp;Calculate!BL32)/1000</f>
        <v>3407.0144104525834</v>
      </c>
      <c r="BT11" s="3">
        <v>0</v>
      </c>
      <c r="BW11" s="47">
        <f>IF(Прогноз!B4="",#N/A,Прогноз!B4)/1000</f>
        <v>144.819099</v>
      </c>
      <c r="BX11" s="47">
        <f>IF(Прогноз!C4="",#N/A,Прогноз!C4)/1000</f>
        <v>141.6549992916044</v>
      </c>
      <c r="BY11" s="47">
        <f>IF(Прогноз!D4="",#N/A,Прогноз!D4)/1000</f>
        <v>138.71598138500028</v>
      </c>
      <c r="BZ11" s="47">
        <f>IF(Прогноз!E4="",#N/A,Прогноз!E4)/1000</f>
        <v>135.18122607446494</v>
      </c>
      <c r="CA11" s="47">
        <f>IF(Прогноз!F4="",#N/A,Прогноз!F4)/1000</f>
        <v>130.9112822869435</v>
      </c>
      <c r="CB11" s="47">
        <f>IF(Прогноз!G4="",#N/A,Прогноз!G4)/1000</f>
        <v>125.83158359758384</v>
      </c>
      <c r="CC11" s="47">
        <f>IF(Прогноз!H4="",#N/A,Прогноз!H4)/1000</f>
        <v>120.64534491781716</v>
      </c>
      <c r="CD11" s="47">
        <f>IF(Прогноз!I4="",#N/A,Прогноз!I4)/1000</f>
        <v>115.19157213998946</v>
      </c>
      <c r="CE11" s="47">
        <f>IF(Прогноз!J4="",#N/A,Прогноз!J4)/1000</f>
        <v>114.56822686443566</v>
      </c>
      <c r="CF11" s="47">
        <f>IF(Прогноз!K4="",#N/A,Прогноз!K4)/1000</f>
        <v>113.79369297473353</v>
      </c>
      <c r="CG11" s="47">
        <f>IF(Прогноз!L4="",#N/A,Прогноз!L4)/1000</f>
        <v>108.07934683954409</v>
      </c>
    </row>
    <row r="12" spans="1:85" ht="12.75">
      <c r="A12" s="16" t="s">
        <v>42</v>
      </c>
      <c r="B12" s="26">
        <v>5587291</v>
      </c>
      <c r="C12" s="3">
        <f>B12*B144/1000*Table!B$225</f>
        <v>14412.168647549475</v>
      </c>
      <c r="D12" s="3">
        <f t="shared" si="14"/>
        <v>28439.295457373515</v>
      </c>
      <c r="E12" s="3">
        <f t="shared" si="15"/>
        <v>4673330.348330239</v>
      </c>
      <c r="F12" s="3">
        <f>E12*B144/1000*Table!B$225</f>
        <v>12054.647793688664</v>
      </c>
      <c r="G12" s="103">
        <f t="shared" si="16"/>
        <v>28439.295457373515</v>
      </c>
      <c r="H12" s="3">
        <f t="shared" si="3"/>
        <v>4689714.995993923</v>
      </c>
      <c r="I12" s="3">
        <f>H12*H144/1000*Table!H$225</f>
        <v>7782.748579624239</v>
      </c>
      <c r="J12" s="48">
        <f t="shared" si="17"/>
        <v>16587.464533043036</v>
      </c>
      <c r="K12" s="3">
        <f t="shared" si="18"/>
        <v>4961206.916638223</v>
      </c>
      <c r="L12" s="3">
        <f>K12*H144/1000*Table!H$225</f>
        <v>8233.299063305833</v>
      </c>
      <c r="M12" s="103">
        <f t="shared" si="19"/>
        <v>16587.464533043036</v>
      </c>
      <c r="N12" s="3">
        <f t="shared" si="4"/>
        <v>4969561.082107961</v>
      </c>
      <c r="O12" s="3">
        <f>N12*N144/1000*Table!N$225</f>
        <v>6404.049119729456</v>
      </c>
      <c r="P12" s="48">
        <f t="shared" si="20"/>
        <v>15385.458398276027</v>
      </c>
      <c r="Q12" s="3">
        <f t="shared" si="21"/>
        <v>5092051.848722444</v>
      </c>
      <c r="R12" s="3">
        <f>Q12*N144/1000*Table!N$225</f>
        <v>6561.897443384575</v>
      </c>
      <c r="S12" s="103">
        <f t="shared" si="22"/>
        <v>15385.458398276027</v>
      </c>
      <c r="T12" s="3">
        <f t="shared" si="5"/>
        <v>5100875.409677335</v>
      </c>
      <c r="U12" s="3">
        <f>T12*T144/1000*Table!T$225</f>
        <v>6019.04918679766</v>
      </c>
      <c r="V12" s="48">
        <f t="shared" si="23"/>
        <v>15274.990683230899</v>
      </c>
      <c r="W12" s="3">
        <f t="shared" si="24"/>
        <v>5583863.323340474</v>
      </c>
      <c r="X12" s="3">
        <f>W12*T144/1000*Table!T$225</f>
        <v>6588.97645917366</v>
      </c>
      <c r="Y12" s="103">
        <f t="shared" si="25"/>
        <v>15274.990683230899</v>
      </c>
      <c r="Z12" s="3">
        <f t="shared" si="6"/>
        <v>5592549.337564531</v>
      </c>
      <c r="AA12" s="3">
        <f>Z12*Z144/1000*Table!Z$225</f>
        <v>6639.705356206257</v>
      </c>
      <c r="AB12" s="48">
        <f t="shared" si="26"/>
        <v>17032.88244313859</v>
      </c>
      <c r="AC12" s="3">
        <f t="shared" si="27"/>
        <v>5430329.894683609</v>
      </c>
      <c r="AD12" s="3">
        <f>AC12*Z144/1000*Table!Z$225</f>
        <v>6447.111739455741</v>
      </c>
      <c r="AE12" s="103">
        <f t="shared" si="28"/>
        <v>17032.88244313859</v>
      </c>
      <c r="AF12" s="3">
        <f t="shared" si="7"/>
        <v>5440915.665387291</v>
      </c>
      <c r="AG12" s="3">
        <f>AF12*AF144/1000*Table!AF$225</f>
        <v>6572.411541468625</v>
      </c>
      <c r="AH12" s="48">
        <f t="shared" si="29"/>
        <v>17253.512782745915</v>
      </c>
      <c r="AI12" s="3">
        <f t="shared" si="30"/>
        <v>3664334.3697204306</v>
      </c>
      <c r="AJ12" s="3">
        <f>AI12*AF144/1000*Table!AF$225</f>
        <v>4426.371402254847</v>
      </c>
      <c r="AK12" s="103">
        <f t="shared" si="31"/>
        <v>17253.512782745915</v>
      </c>
      <c r="AL12" s="3">
        <f t="shared" si="8"/>
        <v>3677161.511100922</v>
      </c>
      <c r="AM12" s="3">
        <f>AL12*AL144/1000*Table!AL$225</f>
        <v>4463.61712490913</v>
      </c>
      <c r="AN12" s="48">
        <f t="shared" si="32"/>
        <v>11965.93788534297</v>
      </c>
      <c r="AO12" s="3">
        <f t="shared" si="33"/>
        <v>3033618.935656414</v>
      </c>
      <c r="AP12" s="3">
        <f>AO12*AL144/1000*Table!AL$225</f>
        <v>3682.4364093788477</v>
      </c>
      <c r="AQ12" s="103">
        <f t="shared" si="34"/>
        <v>11965.93788534297</v>
      </c>
      <c r="AR12" s="3">
        <f t="shared" si="9"/>
        <v>3041902.437132378</v>
      </c>
      <c r="AS12" s="3">
        <f>AR12*AR144/1000*Table!AR$225</f>
        <v>3730.124595731079</v>
      </c>
      <c r="AT12" s="48">
        <f t="shared" si="35"/>
        <v>102252.04129710169</v>
      </c>
      <c r="AU12" s="3">
        <f t="shared" si="36"/>
        <v>3456947.9138997374</v>
      </c>
      <c r="AV12" s="3">
        <f>AU12*AR144/1000*Table!AR$225</f>
        <v>4239.0729835355</v>
      </c>
      <c r="AW12" s="103">
        <f t="shared" si="37"/>
        <v>102252.04129710169</v>
      </c>
      <c r="AX12" s="3">
        <f t="shared" si="10"/>
        <v>3554960.882213304</v>
      </c>
      <c r="AY12" s="3">
        <f>AX12*AX144/1000*Table!AX$225</f>
        <v>4350.6595271411725</v>
      </c>
      <c r="AZ12" s="48">
        <f t="shared" si="38"/>
        <v>103940.13647442972</v>
      </c>
      <c r="BA12" s="3">
        <f t="shared" si="39"/>
        <v>3963261.4328409564</v>
      </c>
      <c r="BB12" s="3">
        <f>BA12*AX144/1000*Table!AX$225</f>
        <v>4850.349042548504</v>
      </c>
      <c r="BC12" s="103">
        <f t="shared" si="40"/>
        <v>103940.13647442972</v>
      </c>
      <c r="BD12" s="3">
        <f t="shared" si="11"/>
        <v>4062351.2202728377</v>
      </c>
      <c r="BE12" s="3">
        <f>BD12*BD144/1000*Table!BD$225</f>
        <v>4948.1273026675835</v>
      </c>
      <c r="BF12" s="48">
        <f t="shared" si="41"/>
        <v>11529.020959142925</v>
      </c>
      <c r="BG12" s="3">
        <f t="shared" si="42"/>
        <v>3936208.2819221877</v>
      </c>
      <c r="BH12" s="3">
        <f>BG12*BD144/1000*Table!BD$225</f>
        <v>4794.479505259844</v>
      </c>
      <c r="BI12" s="103">
        <f t="shared" si="43"/>
        <v>11529.020959142925</v>
      </c>
      <c r="BJ12" s="3">
        <f t="shared" si="12"/>
        <v>3942942.8233760707</v>
      </c>
      <c r="BL12">
        <v>12</v>
      </c>
      <c r="BO12" s="14" t="s">
        <v>42</v>
      </c>
      <c r="BP12" s="3">
        <f ca="1">INDIRECT(Table!$D$8&amp;Calculate!BL12)/1000</f>
        <v>3942.942823376071</v>
      </c>
      <c r="BR12" s="14" t="s">
        <v>42</v>
      </c>
      <c r="BS12" s="3">
        <f ca="1">INDIRECT(Table!$D$8&amp;Calculate!BL33)/1000</f>
        <v>3898.475391469857</v>
      </c>
      <c r="BT12" s="3">
        <v>0</v>
      </c>
      <c r="BW12" s="48">
        <f>Прогноз!B67</f>
        <v>6329.362</v>
      </c>
      <c r="BX12" s="48">
        <f>Прогноз!C67</f>
        <v>7052.878435121984</v>
      </c>
      <c r="BY12" s="48">
        <f>Прогноз!D67</f>
        <v>7576.735780826899</v>
      </c>
      <c r="BZ12" s="48">
        <f>Прогноз!E67</f>
        <v>7182.51742401274</v>
      </c>
      <c r="CA12" s="48">
        <f>Прогноз!F67</f>
        <v>6162.367430350548</v>
      </c>
      <c r="CB12" s="48">
        <f>Прогноз!G67</f>
        <v>5279.690542842252</v>
      </c>
      <c r="CC12" s="48">
        <f>Прогноз!H67</f>
        <v>4909.659349335771</v>
      </c>
      <c r="CD12" s="48">
        <f>Прогноз!I67</f>
        <v>4832.729642735244</v>
      </c>
      <c r="CE12" s="48">
        <f>Прогноз!J67</f>
        <v>4826.21734616003</v>
      </c>
      <c r="CF12" s="48">
        <f>Прогноз!K67</f>
        <v>4745.358414353544</v>
      </c>
      <c r="CG12" s="48">
        <f>Прогноз!L67</f>
        <v>4427.698056893522</v>
      </c>
    </row>
    <row r="13" spans="1:85" ht="12.75">
      <c r="A13" s="16" t="s">
        <v>43</v>
      </c>
      <c r="B13" s="26">
        <v>6145435</v>
      </c>
      <c r="C13" s="3">
        <f>B13*B145/1000*Table!B$225</f>
        <v>12653.122046152765</v>
      </c>
      <c r="D13" s="3">
        <f t="shared" si="14"/>
        <v>22405.955905843733</v>
      </c>
      <c r="E13" s="3">
        <f t="shared" si="15"/>
        <v>5332816.032600394</v>
      </c>
      <c r="F13" s="3">
        <f>E13*B145/1000*Table!B$225</f>
        <v>10979.983045980141</v>
      </c>
      <c r="G13" s="103">
        <f t="shared" si="16"/>
        <v>22405.955905843733</v>
      </c>
      <c r="H13" s="3">
        <f t="shared" si="3"/>
        <v>5344242.005460258</v>
      </c>
      <c r="I13" s="3">
        <f>H13*H145/1000*Table!H$225</f>
        <v>7079.289777763595</v>
      </c>
      <c r="J13" s="48">
        <f t="shared" si="17"/>
        <v>13539.822729134637</v>
      </c>
      <c r="K13" s="3">
        <f t="shared" si="18"/>
        <v>4488829.964957735</v>
      </c>
      <c r="L13" s="3">
        <f>K13*H145/1000*Table!H$225</f>
        <v>5946.161879004849</v>
      </c>
      <c r="M13" s="103">
        <f t="shared" si="19"/>
        <v>13539.822729134637</v>
      </c>
      <c r="N13" s="3">
        <f t="shared" si="4"/>
        <v>4496423.625807865</v>
      </c>
      <c r="O13" s="3">
        <f>N13*N145/1000*Table!N$225</f>
        <v>4625.097214660635</v>
      </c>
      <c r="P13" s="48">
        <f t="shared" si="20"/>
        <v>9971.326424872866</v>
      </c>
      <c r="Q13" s="3">
        <f t="shared" si="21"/>
        <v>4760414.089269647</v>
      </c>
      <c r="R13" s="3">
        <f>Q13*N145/1000*Table!N$225</f>
        <v>4896.642259982002</v>
      </c>
      <c r="S13" s="103">
        <f t="shared" si="22"/>
        <v>9971.326424872866</v>
      </c>
      <c r="T13" s="3">
        <f t="shared" si="5"/>
        <v>4765488.773434537</v>
      </c>
      <c r="U13" s="3">
        <f>T13*T145/1000*Table!T$225</f>
        <v>4488.566360767912</v>
      </c>
      <c r="V13" s="48">
        <f t="shared" si="23"/>
        <v>10222.026305837953</v>
      </c>
      <c r="W13" s="3">
        <f t="shared" si="24"/>
        <v>4895907.493521558</v>
      </c>
      <c r="X13" s="3">
        <f>W13*T145/1000*Table!T$225</f>
        <v>4611.406452860943</v>
      </c>
      <c r="Y13" s="103">
        <f t="shared" si="25"/>
        <v>10222.026305837953</v>
      </c>
      <c r="Z13" s="3">
        <f t="shared" si="6"/>
        <v>4901518.113374535</v>
      </c>
      <c r="AA13" s="3">
        <f>Z13*Z145/1000*Table!Z$225</f>
        <v>4645.009627045393</v>
      </c>
      <c r="AB13" s="48">
        <f t="shared" si="26"/>
        <v>10693.06587076086</v>
      </c>
      <c r="AC13" s="3">
        <f t="shared" si="27"/>
        <v>5378686.093744944</v>
      </c>
      <c r="AD13" s="3">
        <f>AC13*Z145/1000*Table!Z$225</f>
        <v>5097.206234559795</v>
      </c>
      <c r="AE13" s="103">
        <f t="shared" si="28"/>
        <v>10693.06587076086</v>
      </c>
      <c r="AF13" s="3">
        <f t="shared" si="7"/>
        <v>5384281.953381145</v>
      </c>
      <c r="AG13" s="3">
        <f>AF13*AF145/1000*Table!AF$225</f>
        <v>5191.556352476601</v>
      </c>
      <c r="AH13" s="48">
        <f t="shared" si="29"/>
        <v>12230.005012399371</v>
      </c>
      <c r="AI13" s="3">
        <f t="shared" si="30"/>
        <v>5244151.4807782965</v>
      </c>
      <c r="AJ13" s="3">
        <f>AI13*AF145/1000*Table!AF$225</f>
        <v>5056.441725955227</v>
      </c>
      <c r="AK13" s="103">
        <f t="shared" si="31"/>
        <v>12230.005012399371</v>
      </c>
      <c r="AL13" s="3">
        <f t="shared" si="8"/>
        <v>5251325.044064741</v>
      </c>
      <c r="AM13" s="3">
        <f>AL13*AL145/1000*Table!AL$225</f>
        <v>5088.152899466159</v>
      </c>
      <c r="AN13" s="48">
        <f t="shared" si="32"/>
        <v>12240.417881160713</v>
      </c>
      <c r="AO13" s="3">
        <f t="shared" si="33"/>
        <v>3551915.349648066</v>
      </c>
      <c r="AP13" s="3">
        <f>AO13*AL145/1000*Table!AL$225</f>
        <v>3441.548225127797</v>
      </c>
      <c r="AQ13" s="103">
        <f t="shared" si="34"/>
        <v>12240.417881160713</v>
      </c>
      <c r="AR13" s="3">
        <f t="shared" si="9"/>
        <v>3560714.2193040987</v>
      </c>
      <c r="AS13" s="3">
        <f>AR13*AR145/1000*Table!AR$225</f>
        <v>3485.23606784915</v>
      </c>
      <c r="AT13" s="48">
        <f t="shared" si="35"/>
        <v>87069.09098075356</v>
      </c>
      <c r="AU13" s="3">
        <f t="shared" si="36"/>
        <v>3033710.5960044744</v>
      </c>
      <c r="AV13" s="3">
        <f>AU13*AR145/1000*Table!AR$225</f>
        <v>2969.40359079908</v>
      </c>
      <c r="AW13" s="103">
        <f t="shared" si="37"/>
        <v>87069.09098075356</v>
      </c>
      <c r="AX13" s="3">
        <f t="shared" si="10"/>
        <v>3117810.283394429</v>
      </c>
      <c r="AY13" s="3">
        <f>AX13*AX145/1000*Table!AX$225</f>
        <v>3045.698993265723</v>
      </c>
      <c r="AZ13" s="48">
        <f t="shared" si="38"/>
        <v>86105.90985118788</v>
      </c>
      <c r="BA13" s="3">
        <f t="shared" si="39"/>
        <v>3537782.1188530945</v>
      </c>
      <c r="BB13" s="3">
        <f>BA13*AX145/1000*Table!AX$225</f>
        <v>3455.9573734080263</v>
      </c>
      <c r="BC13" s="103">
        <f t="shared" si="40"/>
        <v>86105.90985118788</v>
      </c>
      <c r="BD13" s="3">
        <f t="shared" si="11"/>
        <v>3620432.071330874</v>
      </c>
      <c r="BE13" s="3">
        <f>BD13*BD145/1000*Table!BD$225</f>
        <v>3519.985076934683</v>
      </c>
      <c r="BF13" s="48">
        <f t="shared" si="41"/>
        <v>9705.327209846186</v>
      </c>
      <c r="BG13" s="3">
        <f t="shared" si="42"/>
        <v>3947019.714173527</v>
      </c>
      <c r="BH13" s="3">
        <f>BG13*BD145/1000*Table!BD$225</f>
        <v>3837.5117164263133</v>
      </c>
      <c r="BI13" s="103">
        <f t="shared" si="43"/>
        <v>9705.327209846186</v>
      </c>
      <c r="BJ13" s="3">
        <f t="shared" si="12"/>
        <v>3952887.5296669467</v>
      </c>
      <c r="BL13">
        <v>13</v>
      </c>
      <c r="BO13" s="14" t="s">
        <v>43</v>
      </c>
      <c r="BP13" s="3">
        <f ca="1">INDIRECT(Table!$D$8&amp;Calculate!BL13)/1000</f>
        <v>3952.8875296669466</v>
      </c>
      <c r="BR13" s="14" t="s">
        <v>43</v>
      </c>
      <c r="BS13" s="3">
        <f ca="1">INDIRECT(Table!$D$8&amp;Calculate!BL34)/1000</f>
        <v>4005.03289300148</v>
      </c>
      <c r="BT13" s="3">
        <v>0</v>
      </c>
      <c r="BW13" s="48">
        <f>Прогноз!B68</f>
        <v>10456.42</v>
      </c>
      <c r="BX13" s="48">
        <f>Прогноз!C68</f>
        <v>10765.949692318332</v>
      </c>
      <c r="BY13" s="48">
        <f>Прогноз!D68</f>
        <v>10927.52038972325</v>
      </c>
      <c r="BZ13" s="48">
        <f>Прогноз!E68</f>
        <v>11116.962507521524</v>
      </c>
      <c r="CA13" s="48">
        <f>Прогноз!F68</f>
        <v>10828.681016401666</v>
      </c>
      <c r="CB13" s="48">
        <f>Прогноз!G68</f>
        <v>10745.963480482436</v>
      </c>
      <c r="CC13" s="48">
        <f>Прогноз!H68</f>
        <v>10473.633823030601</v>
      </c>
      <c r="CD13" s="48">
        <f>Прогноз!I68</f>
        <v>10658.201028019432</v>
      </c>
      <c r="CE13" s="48">
        <f>Прогноз!J68</f>
        <v>10812.28807376422</v>
      </c>
      <c r="CF13" s="48">
        <f>Прогноз!K68</f>
        <v>10870.150359966294</v>
      </c>
      <c r="CG13" s="48">
        <f>Прогноз!L68</f>
        <v>10484.539243694755</v>
      </c>
    </row>
    <row r="14" spans="1:85" ht="12.75">
      <c r="A14" s="16" t="s">
        <v>44</v>
      </c>
      <c r="B14" s="26">
        <v>5490844</v>
      </c>
      <c r="C14" s="3">
        <f>B14*B146/1000*Table!B$225</f>
        <v>9381.516472580435</v>
      </c>
      <c r="D14" s="3">
        <f t="shared" si="14"/>
        <v>16807.45577985799</v>
      </c>
      <c r="E14" s="3">
        <f t="shared" si="15"/>
        <v>5747610.469226242</v>
      </c>
      <c r="F14" s="3">
        <f>E14*B146/1000*Table!B$225</f>
        <v>9820.221134496218</v>
      </c>
      <c r="G14" s="103">
        <f t="shared" si="16"/>
        <v>16807.45577985799</v>
      </c>
      <c r="H14" s="3">
        <f t="shared" si="3"/>
        <v>5754597.703871604</v>
      </c>
      <c r="I14" s="3">
        <f>H14*H146/1000*Table!H$225</f>
        <v>6325.682855467702</v>
      </c>
      <c r="J14" s="48">
        <f t="shared" si="17"/>
        <v>12240.350527462193</v>
      </c>
      <c r="K14" s="3">
        <f t="shared" si="18"/>
        <v>5017846.51638951</v>
      </c>
      <c r="L14" s="3">
        <f>K14*H146/1000*Table!H$225</f>
        <v>5515.816624112297</v>
      </c>
      <c r="M14" s="103">
        <f t="shared" si="19"/>
        <v>12240.350527462193</v>
      </c>
      <c r="N14" s="3">
        <f t="shared" si="4"/>
        <v>5024571.05029286</v>
      </c>
      <c r="O14" s="3">
        <f>N14*N146/1000*Table!N$225</f>
        <v>4288.85643589813</v>
      </c>
      <c r="P14" s="48">
        <f t="shared" si="20"/>
        <v>9354.847864842048</v>
      </c>
      <c r="Q14" s="3">
        <f t="shared" si="21"/>
        <v>4226200.865995598</v>
      </c>
      <c r="R14" s="3">
        <f>Q14*N146/1000*Table!N$225</f>
        <v>3607.3863026510526</v>
      </c>
      <c r="S14" s="103">
        <f t="shared" si="22"/>
        <v>9354.847864842048</v>
      </c>
      <c r="T14" s="3">
        <f t="shared" si="5"/>
        <v>4231948.327557789</v>
      </c>
      <c r="U14" s="3">
        <f>T14*T146/1000*Table!T$225</f>
        <v>3307.725250698371</v>
      </c>
      <c r="V14" s="48">
        <f t="shared" si="23"/>
        <v>7621.174829873199</v>
      </c>
      <c r="W14" s="3">
        <f t="shared" si="24"/>
        <v>4490219.411357811</v>
      </c>
      <c r="X14" s="3">
        <f>W14*T146/1000*Table!T$225</f>
        <v>3509.5920315018047</v>
      </c>
      <c r="Y14" s="103">
        <f t="shared" si="25"/>
        <v>7621.174829873199</v>
      </c>
      <c r="Z14" s="3">
        <f t="shared" si="6"/>
        <v>4494330.994156182</v>
      </c>
      <c r="AA14" s="3">
        <f>Z14*Z146/1000*Table!Z$225</f>
        <v>3534.353079311022</v>
      </c>
      <c r="AB14" s="48">
        <f t="shared" si="26"/>
        <v>8231.684349477366</v>
      </c>
      <c r="AC14" s="3">
        <f t="shared" si="27"/>
        <v>4630005.334550799</v>
      </c>
      <c r="AD14" s="3">
        <f>AC14*Z146/1000*Table!Z$225</f>
        <v>3641.0477182641193</v>
      </c>
      <c r="AE14" s="103">
        <f t="shared" si="28"/>
        <v>8231.684349477366</v>
      </c>
      <c r="AF14" s="3">
        <f t="shared" si="7"/>
        <v>4634595.971182012</v>
      </c>
      <c r="AG14" s="3">
        <f>AF14*AF146/1000*Table!AF$225</f>
        <v>3708.263025761605</v>
      </c>
      <c r="AH14" s="48">
        <f t="shared" si="29"/>
        <v>8838.178029433691</v>
      </c>
      <c r="AI14" s="3">
        <f t="shared" si="30"/>
        <v>5099592.102828837</v>
      </c>
      <c r="AJ14" s="3">
        <f>AI14*AF146/1000*Table!AF$225</f>
        <v>4080.3187503231406</v>
      </c>
      <c r="AK14" s="103">
        <f t="shared" si="31"/>
        <v>8838.178029433691</v>
      </c>
      <c r="AL14" s="3">
        <f t="shared" si="8"/>
        <v>5104349.962107948</v>
      </c>
      <c r="AM14" s="3">
        <f>AL14*AL146/1000*Table!AL$225</f>
        <v>4104.1248889214185</v>
      </c>
      <c r="AN14" s="48">
        <f t="shared" si="32"/>
        <v>9988.94935203483</v>
      </c>
      <c r="AO14" s="3">
        <f t="shared" si="33"/>
        <v>4987239.349408779</v>
      </c>
      <c r="AP14" s="3">
        <f>AO14*AL146/1000*Table!AL$225</f>
        <v>4009.9627362666256</v>
      </c>
      <c r="AQ14" s="103">
        <f t="shared" si="34"/>
        <v>9988.94935203483</v>
      </c>
      <c r="AR14" s="3">
        <f t="shared" si="9"/>
        <v>4993218.336024547</v>
      </c>
      <c r="AS14" s="3">
        <f>AR14*AR146/1000*Table!AR$225</f>
        <v>4055.687743640387</v>
      </c>
      <c r="AT14" s="48">
        <f t="shared" si="35"/>
        <v>78639.42608279537</v>
      </c>
      <c r="AU14" s="3">
        <f t="shared" si="36"/>
        <v>3465709.1492549856</v>
      </c>
      <c r="AV14" s="3">
        <f>AU14*AR146/1000*Table!AR$225</f>
        <v>2814.9848802419156</v>
      </c>
      <c r="AW14" s="103">
        <f t="shared" si="37"/>
        <v>78639.42608279537</v>
      </c>
      <c r="AX14" s="3">
        <f t="shared" si="10"/>
        <v>3541533.590457539</v>
      </c>
      <c r="AY14" s="3">
        <f>AX14*AX146/1000*Table!AX$225</f>
        <v>2870.8964791612552</v>
      </c>
      <c r="AZ14" s="48">
        <f t="shared" si="38"/>
        <v>74131.48632278807</v>
      </c>
      <c r="BA14" s="3">
        <f t="shared" si="39"/>
        <v>3052252.393954099</v>
      </c>
      <c r="BB14" s="3">
        <f>BA14*AX146/1000*Table!AX$225</f>
        <v>2474.267270801817</v>
      </c>
      <c r="BC14" s="103">
        <f t="shared" si="40"/>
        <v>74131.48632278807</v>
      </c>
      <c r="BD14" s="3">
        <f t="shared" si="11"/>
        <v>3123909.6130060856</v>
      </c>
      <c r="BE14" s="3">
        <f>BD14*BD146/1000*Table!BD$225</f>
        <v>2520.390019361072</v>
      </c>
      <c r="BF14" s="48">
        <f t="shared" si="41"/>
        <v>6347.114099587334</v>
      </c>
      <c r="BG14" s="3">
        <f t="shared" si="42"/>
        <v>3467462.648242558</v>
      </c>
      <c r="BH14" s="3">
        <f>BG14*BD146/1000*Table!BD$225</f>
        <v>2797.5707794977197</v>
      </c>
      <c r="BI14" s="103">
        <f t="shared" si="43"/>
        <v>6347.114099587334</v>
      </c>
      <c r="BJ14" s="3">
        <f t="shared" si="12"/>
        <v>3471012.1915626475</v>
      </c>
      <c r="BL14">
        <v>14</v>
      </c>
      <c r="BO14" s="14" t="s">
        <v>44</v>
      </c>
      <c r="BP14" s="3">
        <f ca="1">INDIRECT(Table!$D$8&amp;Calculate!BL14)/1000</f>
        <v>3471.0121915626473</v>
      </c>
      <c r="BR14" s="14" t="s">
        <v>44</v>
      </c>
      <c r="BS14" s="3">
        <f ca="1">INDIRECT(Table!$D$8&amp;Calculate!BL35)/1000</f>
        <v>3650.377578852148</v>
      </c>
      <c r="BT14" s="3">
        <v>0</v>
      </c>
      <c r="BW14" s="48">
        <f>Прогноз!B69</f>
        <v>2446.152</v>
      </c>
      <c r="BX14" s="48">
        <f>Прогноз!C69</f>
        <v>1134.3886159016738</v>
      </c>
      <c r="BY14" s="48">
        <f>Прогноз!D69</f>
        <v>781.902404500584</v>
      </c>
      <c r="BZ14" s="48">
        <f>Прогноз!E69</f>
        <v>678.8581752126854</v>
      </c>
      <c r="CA14" s="48">
        <f>Прогноз!F69</f>
        <v>638.9521067514222</v>
      </c>
      <c r="CB14" s="48">
        <f>Прогноз!G69</f>
        <v>615.628654033256</v>
      </c>
      <c r="CC14" s="48">
        <f>Прогноз!H69</f>
        <v>597.6143032669132</v>
      </c>
      <c r="CD14" s="48">
        <f>Прогноз!I69</f>
        <v>582.0957697177666</v>
      </c>
      <c r="CE14" s="48">
        <f>Прогноз!J69</f>
        <v>5567.74643249185</v>
      </c>
      <c r="CF14" s="48">
        <f>Прогноз!K69</f>
        <v>5553.8588887075</v>
      </c>
      <c r="CG14" s="48">
        <f>Прогноз!L69</f>
        <v>540.5463243454042</v>
      </c>
    </row>
    <row r="15" spans="1:85" ht="12.75">
      <c r="A15" s="16" t="s">
        <v>45</v>
      </c>
      <c r="B15" s="26">
        <v>4355629</v>
      </c>
      <c r="C15" s="3">
        <f>B15*B147/1000*Table!B$225</f>
        <v>6547.573101670719</v>
      </c>
      <c r="D15" s="3">
        <f t="shared" si="14"/>
        <v>10092.81159436865</v>
      </c>
      <c r="E15" s="3">
        <f t="shared" si="15"/>
        <v>4997108.538999846</v>
      </c>
      <c r="F15" s="3">
        <f>E15*B147/1000*Table!B$225</f>
        <v>7511.873361134398</v>
      </c>
      <c r="G15" s="103">
        <f t="shared" si="16"/>
        <v>10092.81159436865</v>
      </c>
      <c r="H15" s="3">
        <f t="shared" si="3"/>
        <v>4999689.477233081</v>
      </c>
      <c r="I15" s="3">
        <f>H15*H147/1000*Table!H$225</f>
        <v>4835.384488499806</v>
      </c>
      <c r="J15" s="48">
        <f t="shared" si="17"/>
        <v>8050.453244132223</v>
      </c>
      <c r="K15" s="3">
        <f t="shared" si="18"/>
        <v>5262395.399688045</v>
      </c>
      <c r="L15" s="3">
        <f>K15*H147/1000*Table!H$225</f>
        <v>5089.457096060777</v>
      </c>
      <c r="M15" s="103">
        <f t="shared" si="19"/>
        <v>8050.453244132223</v>
      </c>
      <c r="N15" s="3">
        <f t="shared" si="4"/>
        <v>5265356.395836116</v>
      </c>
      <c r="O15" s="3">
        <f>N15*N147/1000*Table!N$225</f>
        <v>3954.265491529314</v>
      </c>
      <c r="P15" s="48">
        <f t="shared" si="20"/>
        <v>7421.025489281684</v>
      </c>
      <c r="Q15" s="3">
        <f t="shared" si="21"/>
        <v>4600594.571499577</v>
      </c>
      <c r="R15" s="3">
        <f>Q15*N147/1000*Table!N$225</f>
        <v>3455.0315281571857</v>
      </c>
      <c r="S15" s="103">
        <f t="shared" si="22"/>
        <v>7421.025489281684</v>
      </c>
      <c r="T15" s="3">
        <f t="shared" si="5"/>
        <v>4604560.5654607015</v>
      </c>
      <c r="U15" s="3">
        <f>T15*T147/1000*Table!T$225</f>
        <v>3166.451183605694</v>
      </c>
      <c r="V15" s="48">
        <f t="shared" si="23"/>
        <v>6277.2318745047705</v>
      </c>
      <c r="W15" s="3">
        <f t="shared" si="24"/>
        <v>3886484.0609859745</v>
      </c>
      <c r="X15" s="3">
        <f>W15*T147/1000*Table!T$225</f>
        <v>2672.6463644077207</v>
      </c>
      <c r="Y15" s="103">
        <f t="shared" si="25"/>
        <v>6277.2318745047705</v>
      </c>
      <c r="Z15" s="3">
        <f t="shared" si="6"/>
        <v>3890088.6464960715</v>
      </c>
      <c r="AA15" s="3">
        <f>Z15*Z147/1000*Table!Z$225</f>
        <v>2691.534259966783</v>
      </c>
      <c r="AB15" s="48">
        <f t="shared" si="26"/>
        <v>5393.635161407745</v>
      </c>
      <c r="AC15" s="3">
        <f t="shared" si="27"/>
        <v>4140046.407624685</v>
      </c>
      <c r="AD15" s="3">
        <f>AC15*Z147/1000*Table!Z$225</f>
        <v>2864.4788735113207</v>
      </c>
      <c r="AE15" s="103">
        <f t="shared" si="28"/>
        <v>5393.635161407745</v>
      </c>
      <c r="AF15" s="3">
        <f t="shared" si="7"/>
        <v>4142575.5639125817</v>
      </c>
      <c r="AG15" s="3">
        <f>AF15*AF147/1000*Table!AF$225</f>
        <v>2916.2491491781357</v>
      </c>
      <c r="AH15" s="48">
        <f t="shared" si="29"/>
        <v>5980.255209734814</v>
      </c>
      <c r="AI15" s="3">
        <f t="shared" si="30"/>
        <v>4283098.008306131</v>
      </c>
      <c r="AJ15" s="3">
        <f>AI15*AF147/1000*Table!AF$225</f>
        <v>3015.1727421411747</v>
      </c>
      <c r="AK15" s="103">
        <f t="shared" si="31"/>
        <v>5980.255209734814</v>
      </c>
      <c r="AL15" s="3">
        <f t="shared" si="8"/>
        <v>4286063.090773724</v>
      </c>
      <c r="AM15" s="3">
        <f>AL15*AL147/1000*Table!AL$225</f>
        <v>3032.035066549602</v>
      </c>
      <c r="AN15" s="48">
        <f t="shared" si="32"/>
        <v>6349.453418135244</v>
      </c>
      <c r="AO15" s="3">
        <f t="shared" si="33"/>
        <v>4733022.854314061</v>
      </c>
      <c r="AP15" s="3">
        <f>AO15*AL147/1000*Table!AL$225</f>
        <v>3348.2221239235937</v>
      </c>
      <c r="AQ15" s="103">
        <f t="shared" si="34"/>
        <v>6349.453418135244</v>
      </c>
      <c r="AR15" s="3">
        <f t="shared" si="9"/>
        <v>4736024.085608273</v>
      </c>
      <c r="AS15" s="3">
        <f>AR15*AR147/1000*Table!AR$225</f>
        <v>3384.4912133900257</v>
      </c>
      <c r="AT15" s="48">
        <f t="shared" si="35"/>
        <v>69874.70117887454</v>
      </c>
      <c r="AU15" s="3">
        <f t="shared" si="36"/>
        <v>4709586.77954535</v>
      </c>
      <c r="AV15" s="3">
        <f>AU15*AR147/1000*Table!AR$225</f>
        <v>3365.598397716312</v>
      </c>
      <c r="AW15" s="103">
        <f t="shared" si="37"/>
        <v>69874.70117887454</v>
      </c>
      <c r="AX15" s="3">
        <f t="shared" si="10"/>
        <v>4776095.882326509</v>
      </c>
      <c r="AY15" s="3">
        <f>AX15*AX147/1000*Table!AX$225</f>
        <v>3406.392901935853</v>
      </c>
      <c r="AZ15" s="48">
        <f t="shared" si="38"/>
        <v>69658.08905346012</v>
      </c>
      <c r="BA15" s="3">
        <f t="shared" si="39"/>
        <v>3368826.5068908036</v>
      </c>
      <c r="BB15" s="3">
        <f>BA15*AX147/1000*Table!AX$225</f>
        <v>2402.704422955654</v>
      </c>
      <c r="BC15" s="103">
        <f t="shared" si="40"/>
        <v>69658.08905346012</v>
      </c>
      <c r="BD15" s="3">
        <f t="shared" si="11"/>
        <v>3436081.8915213076</v>
      </c>
      <c r="BE15" s="3">
        <f>BD15*BD147/1000*Table!BD$225</f>
        <v>2439.092845296439</v>
      </c>
      <c r="BF15" s="48">
        <f t="shared" si="41"/>
        <v>4864.391586311968</v>
      </c>
      <c r="BG15" s="3">
        <f t="shared" si="42"/>
        <v>2926371.243423474</v>
      </c>
      <c r="BH15" s="3">
        <f>BG15*BD147/1000*Table!BD$225</f>
        <v>2077.2762081509245</v>
      </c>
      <c r="BI15" s="103">
        <f t="shared" si="43"/>
        <v>4864.391586311968</v>
      </c>
      <c r="BJ15" s="3">
        <f t="shared" si="12"/>
        <v>2929158.358801635</v>
      </c>
      <c r="BL15">
        <v>15</v>
      </c>
      <c r="BO15" s="14" t="s">
        <v>45</v>
      </c>
      <c r="BP15" s="3">
        <f ca="1">INDIRECT(Table!$D$8&amp;Calculate!BL15)/1000</f>
        <v>2929.158358801635</v>
      </c>
      <c r="BR15" s="14" t="s">
        <v>45</v>
      </c>
      <c r="BS15" s="3">
        <f ca="1">INDIRECT(Table!$D$8&amp;Calculate!BL36)/1000</f>
        <v>3267.6278662847017</v>
      </c>
      <c r="BT15" s="3">
        <v>0</v>
      </c>
      <c r="BW15" s="48">
        <f>Прогноз!B70</f>
        <v>1097.027</v>
      </c>
      <c r="BX15" s="48">
        <f>Прогноз!C70</f>
        <v>585.417067100869</v>
      </c>
      <c r="BY15" s="48">
        <f>Прогноз!D70</f>
        <v>370.13570220836436</v>
      </c>
      <c r="BZ15" s="48">
        <f>Прогноз!E70</f>
        <v>279.16840223933036</v>
      </c>
      <c r="CA15" s="48">
        <f>Прогноз!F70</f>
        <v>242.58230822166473</v>
      </c>
      <c r="CB15" s="48">
        <f>Прогноз!G70</f>
        <v>229.0544057527205</v>
      </c>
      <c r="CC15" s="48">
        <f>Прогноз!H70</f>
        <v>219.87850933878283</v>
      </c>
      <c r="CD15" s="48">
        <f>Прогноз!I70</f>
        <v>210.3971622612697</v>
      </c>
      <c r="CE15" s="48">
        <f>Прогноз!J70</f>
        <v>205.02098044146075</v>
      </c>
      <c r="CF15" s="48">
        <f>Прогноз!K70</f>
        <v>203.60083279687765</v>
      </c>
      <c r="CG15" s="48">
        <f>Прогноз!L70</f>
        <v>198.05127273363573</v>
      </c>
    </row>
    <row r="16" spans="1:85" ht="12.75">
      <c r="A16" s="16" t="s">
        <v>46</v>
      </c>
      <c r="B16" s="26">
        <v>2165087</v>
      </c>
      <c r="C16" s="3">
        <f>B16*B148/1000*Table!B$225</f>
        <v>3072.1633848778865</v>
      </c>
      <c r="D16" s="3">
        <f t="shared" si="14"/>
        <v>10498.069063927496</v>
      </c>
      <c r="E16" s="3">
        <f t="shared" si="15"/>
        <v>3822984.8528478188</v>
      </c>
      <c r="F16" s="3">
        <f>E16*B148/1000*Table!B$225</f>
        <v>5424.6476404236155</v>
      </c>
      <c r="G16" s="103">
        <f t="shared" si="16"/>
        <v>10498.069063927496</v>
      </c>
      <c r="H16" s="3">
        <f t="shared" si="3"/>
        <v>3828058.274271323</v>
      </c>
      <c r="I16" s="3">
        <f>H16*H148/1000*Table!H$225</f>
        <v>3494.6686397993894</v>
      </c>
      <c r="J16" s="48">
        <f t="shared" si="17"/>
        <v>12898.18578641957</v>
      </c>
      <c r="K16" s="3">
        <f t="shared" si="18"/>
        <v>4413665.355071581</v>
      </c>
      <c r="L16" s="3">
        <f>K16*H148/1000*Table!H$225</f>
        <v>4029.2745820003825</v>
      </c>
      <c r="M16" s="103">
        <f t="shared" si="19"/>
        <v>12898.18578641957</v>
      </c>
      <c r="N16" s="3">
        <f t="shared" si="4"/>
        <v>4422534.266276</v>
      </c>
      <c r="O16" s="3">
        <f>N16*N148/1000*Table!N$225</f>
        <v>3135.0808115929062</v>
      </c>
      <c r="P16" s="48">
        <f t="shared" si="20"/>
        <v>13043.07960607547</v>
      </c>
      <c r="Q16" s="3">
        <f t="shared" si="21"/>
        <v>4655179.593414895</v>
      </c>
      <c r="R16" s="3">
        <f>Q16*N148/1000*Table!N$225</f>
        <v>3300.0002575724766</v>
      </c>
      <c r="S16" s="103">
        <f t="shared" si="22"/>
        <v>13043.07960607547</v>
      </c>
      <c r="T16" s="3">
        <f t="shared" si="5"/>
        <v>4664922.672763399</v>
      </c>
      <c r="U16" s="3">
        <f>T16*T148/1000*Table!T$225</f>
        <v>3028.088316866871</v>
      </c>
      <c r="V16" s="48">
        <f t="shared" si="23"/>
        <v>13307.522782880978</v>
      </c>
      <c r="W16" s="3">
        <f t="shared" si="24"/>
        <v>4085254.1501334277</v>
      </c>
      <c r="X16" s="3">
        <f>W16*T148/1000*Table!T$225</f>
        <v>2651.8146668705463</v>
      </c>
      <c r="Y16" s="103">
        <f t="shared" si="25"/>
        <v>13307.522782880978</v>
      </c>
      <c r="Z16" s="3">
        <f t="shared" si="6"/>
        <v>4095909.858249438</v>
      </c>
      <c r="AA16" s="3">
        <f>Z16*Z148/1000*Table!Z$225</f>
        <v>2675.0400320749486</v>
      </c>
      <c r="AB16" s="48">
        <f t="shared" si="26"/>
        <v>11883.523962016847</v>
      </c>
      <c r="AC16" s="3">
        <f t="shared" si="27"/>
        <v>3463702.586983845</v>
      </c>
      <c r="AD16" s="3">
        <f>AC16*Z148/1000*Table!Z$225</f>
        <v>2262.145261991526</v>
      </c>
      <c r="AE16" s="103">
        <f t="shared" si="28"/>
        <v>11883.523962016847</v>
      </c>
      <c r="AF16" s="3">
        <f t="shared" si="7"/>
        <v>3473323.9656838705</v>
      </c>
      <c r="AG16" s="3">
        <f>AF16*AF148/1000*Table!AF$225</f>
        <v>2308.01677079932</v>
      </c>
      <c r="AH16" s="48">
        <f t="shared" si="29"/>
        <v>10492.21930837196</v>
      </c>
      <c r="AI16" s="3">
        <f t="shared" si="30"/>
        <v>3702556.3277857704</v>
      </c>
      <c r="AJ16" s="3">
        <f>AI16*AF148/1000*Table!AF$225</f>
        <v>2460.341213139946</v>
      </c>
      <c r="AK16" s="103">
        <f t="shared" si="31"/>
        <v>10492.21930837196</v>
      </c>
      <c r="AL16" s="3">
        <f t="shared" si="8"/>
        <v>3710588.2058810024</v>
      </c>
      <c r="AM16" s="3">
        <f>AL16*AL148/1000*Table!AL$225</f>
        <v>2477.7523759521523</v>
      </c>
      <c r="AN16" s="48">
        <f t="shared" si="32"/>
        <v>11502.52880059919</v>
      </c>
      <c r="AO16" s="3">
        <f t="shared" si="33"/>
        <v>3846000.0136829233</v>
      </c>
      <c r="AP16" s="3">
        <f>AO16*AL148/1000*Table!AL$225</f>
        <v>2568.173869768528</v>
      </c>
      <c r="AQ16" s="103">
        <f t="shared" si="34"/>
        <v>11502.52880059919</v>
      </c>
      <c r="AR16" s="3">
        <f t="shared" si="9"/>
        <v>3854934.368613754</v>
      </c>
      <c r="AS16" s="3">
        <f>AR16*AR148/1000*Table!AR$225</f>
        <v>2600.3748573468765</v>
      </c>
      <c r="AT16" s="48">
        <f t="shared" si="35"/>
        <v>69079.97502764506</v>
      </c>
      <c r="AU16" s="3">
        <f t="shared" si="36"/>
        <v>4323548.781667812</v>
      </c>
      <c r="AV16" s="3">
        <f>AU16*AR148/1000*Table!AR$225</f>
        <v>2916.4822202679056</v>
      </c>
      <c r="AW16" s="103">
        <f t="shared" si="37"/>
        <v>69079.97502764506</v>
      </c>
      <c r="AX16" s="3">
        <f t="shared" si="10"/>
        <v>4389712.274475189</v>
      </c>
      <c r="AY16" s="3">
        <f>AX16*AX148/1000*Table!AX$225</f>
        <v>2955.2705002840244</v>
      </c>
      <c r="AZ16" s="48">
        <f t="shared" si="38"/>
        <v>64604.71668968686</v>
      </c>
      <c r="BA16" s="3">
        <f t="shared" si="39"/>
        <v>4377301.880235074</v>
      </c>
      <c r="BB16" s="3">
        <f>BA16*AX148/1000*Table!AX$225</f>
        <v>2946.9154943744193</v>
      </c>
      <c r="BC16" s="103">
        <f t="shared" si="40"/>
        <v>64604.71668968686</v>
      </c>
      <c r="BD16" s="3">
        <f t="shared" si="11"/>
        <v>4438959.681430387</v>
      </c>
      <c r="BE16" s="3">
        <f>BD16*BD148/1000*Table!BD$225</f>
        <v>2974.305047687139</v>
      </c>
      <c r="BF16" s="48">
        <f t="shared" si="41"/>
        <v>6341.264598258644</v>
      </c>
      <c r="BG16" s="3">
        <f t="shared" si="42"/>
        <v>3121069.6499048946</v>
      </c>
      <c r="BH16" s="3">
        <f>BG16*BD148/1000*Table!BD$225</f>
        <v>2091.2587363046177</v>
      </c>
      <c r="BI16" s="103">
        <f t="shared" si="43"/>
        <v>6341.264598258644</v>
      </c>
      <c r="BJ16" s="3">
        <f t="shared" si="12"/>
        <v>3125319.655766849</v>
      </c>
      <c r="BL16">
        <v>16</v>
      </c>
      <c r="BO16" s="14" t="s">
        <v>46</v>
      </c>
      <c r="BP16" s="3">
        <f ca="1">INDIRECT(Table!$D$8&amp;Calculate!BL16)/1000</f>
        <v>3125.319655766849</v>
      </c>
      <c r="BR16" s="14" t="s">
        <v>46</v>
      </c>
      <c r="BS16" s="3">
        <f ca="1">INDIRECT(Table!$D$8&amp;Calculate!BL37)/1000</f>
        <v>3778.5120551425603</v>
      </c>
      <c r="BT16" s="3">
        <v>0</v>
      </c>
      <c r="BV16" t="s">
        <v>104</v>
      </c>
      <c r="BW16" t="s">
        <v>105</v>
      </c>
      <c r="BX16" t="s">
        <v>106</v>
      </c>
      <c r="BY16" t="s">
        <v>107</v>
      </c>
      <c r="BZ16" t="s">
        <v>108</v>
      </c>
      <c r="CA16" t="s">
        <v>109</v>
      </c>
      <c r="CB16" t="s">
        <v>110</v>
      </c>
      <c r="CC16" t="s">
        <v>111</v>
      </c>
      <c r="CD16" t="s">
        <v>112</v>
      </c>
      <c r="CE16" t="s">
        <v>113</v>
      </c>
      <c r="CF16" t="s">
        <v>114</v>
      </c>
      <c r="CG16" t="s">
        <v>115</v>
      </c>
    </row>
    <row r="17" spans="1:85" ht="12.75">
      <c r="A17" s="16" t="s">
        <v>47</v>
      </c>
      <c r="B17" s="26">
        <v>3630693</v>
      </c>
      <c r="C17" s="3">
        <f>B17*B149/1000*Table!B$225</f>
        <v>5105.251454854685</v>
      </c>
      <c r="D17" s="3">
        <f t="shared" si="14"/>
        <v>10511.250660894992</v>
      </c>
      <c r="E17" s="3">
        <f t="shared" si="15"/>
        <v>1816964.0643056622</v>
      </c>
      <c r="F17" s="3">
        <f>E17*B149/1000*Table!B$225</f>
        <v>2554.900244310153</v>
      </c>
      <c r="G17" s="103">
        <f t="shared" si="16"/>
        <v>10511.250660894992</v>
      </c>
      <c r="H17" s="3">
        <f t="shared" si="3"/>
        <v>1824920.4147222468</v>
      </c>
      <c r="I17" s="3">
        <f>H17*H149/1000*Table!H$225</f>
        <v>1650.9352684188884</v>
      </c>
      <c r="J17" s="48">
        <f t="shared" si="17"/>
        <v>3671.3417164149546</v>
      </c>
      <c r="K17" s="3">
        <f t="shared" si="18"/>
        <v>3231379.6507359915</v>
      </c>
      <c r="L17" s="3">
        <f>K17*H149/1000*Table!H$225</f>
        <v>2923.304812644729</v>
      </c>
      <c r="M17" s="103">
        <f t="shared" si="19"/>
        <v>3671.3417164149546</v>
      </c>
      <c r="N17" s="3">
        <f t="shared" si="4"/>
        <v>3232127.6876397617</v>
      </c>
      <c r="O17" s="3">
        <f>N17*N149/1000*Table!N$225</f>
        <v>2270.516678275384</v>
      </c>
      <c r="P17" s="48">
        <f t="shared" si="20"/>
        <v>5691.519650871849</v>
      </c>
      <c r="Q17" s="3">
        <f t="shared" si="21"/>
        <v>3738796.474240122</v>
      </c>
      <c r="R17" s="3">
        <f>Q17*N149/1000*Table!N$225</f>
        <v>2626.443189080327</v>
      </c>
      <c r="S17" s="103">
        <f t="shared" si="22"/>
        <v>5691.519650871849</v>
      </c>
      <c r="T17" s="3">
        <f t="shared" si="5"/>
        <v>3741861.5507019134</v>
      </c>
      <c r="U17" s="3">
        <f>T17*T149/1000*Table!T$225</f>
        <v>2406.96877558067</v>
      </c>
      <c r="V17" s="48">
        <f t="shared" si="23"/>
        <v>6373.401459307201</v>
      </c>
      <c r="W17" s="3">
        <f t="shared" si="24"/>
        <v>3959521.551156467</v>
      </c>
      <c r="X17" s="3">
        <f>W17*T149/1000*Table!T$225</f>
        <v>2546.979520951168</v>
      </c>
      <c r="Y17" s="103">
        <f t="shared" si="25"/>
        <v>6373.401459307201</v>
      </c>
      <c r="Z17" s="3">
        <f t="shared" si="6"/>
        <v>3963347.973094823</v>
      </c>
      <c r="AA17" s="3">
        <f>Z17*Z149/1000*Table!Z$225</f>
        <v>2565.0790459570353</v>
      </c>
      <c r="AB17" s="48">
        <f t="shared" si="26"/>
        <v>6865.747885300802</v>
      </c>
      <c r="AC17" s="3">
        <f t="shared" si="27"/>
        <v>3491098.471790803</v>
      </c>
      <c r="AD17" s="3">
        <f>AC17*Z149/1000*Table!Z$225</f>
        <v>2259.4391403817754</v>
      </c>
      <c r="AE17" s="103">
        <f t="shared" si="28"/>
        <v>6865.747885300802</v>
      </c>
      <c r="AF17" s="3">
        <f t="shared" si="7"/>
        <v>3495704.780535722</v>
      </c>
      <c r="AG17" s="3">
        <f>AF17*AF149/1000*Table!AF$225</f>
        <v>2301.9032663659877</v>
      </c>
      <c r="AH17" s="48">
        <f t="shared" si="29"/>
        <v>6305.036526188283</v>
      </c>
      <c r="AI17" s="3">
        <f t="shared" si="30"/>
        <v>2973797.1924422304</v>
      </c>
      <c r="AJ17" s="3">
        <f>AI17*AF149/1000*Table!AF$225</f>
        <v>1958.229856510854</v>
      </c>
      <c r="AK17" s="103">
        <f t="shared" si="31"/>
        <v>6305.036526188283</v>
      </c>
      <c r="AL17" s="3">
        <f t="shared" si="8"/>
        <v>2978143.999111908</v>
      </c>
      <c r="AM17" s="3">
        <f>AL17*AL149/1000*Table!AL$225</f>
        <v>1970.6953316328745</v>
      </c>
      <c r="AN17" s="48">
        <f t="shared" si="32"/>
        <v>5512.226493786101</v>
      </c>
      <c r="AO17" s="3">
        <f t="shared" si="33"/>
        <v>3191886.4622766124</v>
      </c>
      <c r="AP17" s="3">
        <f>AO17*AL149/1000*Table!AL$225</f>
        <v>2112.1328425309384</v>
      </c>
      <c r="AQ17" s="103">
        <f t="shared" si="34"/>
        <v>5512.226493786101</v>
      </c>
      <c r="AR17" s="3">
        <f t="shared" si="9"/>
        <v>3195286.5559278675</v>
      </c>
      <c r="AS17" s="3">
        <f>AR17*AR149/1000*Table!AR$225</f>
        <v>2135.9320643990504</v>
      </c>
      <c r="AT17" s="48">
        <f t="shared" si="35"/>
        <v>57007.32119442432</v>
      </c>
      <c r="AU17" s="3">
        <f t="shared" si="36"/>
        <v>3381215.2357444386</v>
      </c>
      <c r="AV17" s="3">
        <f>AU17*AR149/1000*Table!AR$225</f>
        <v>2260.218578913639</v>
      </c>
      <c r="AW17" s="103">
        <f t="shared" si="37"/>
        <v>57007.32119442432</v>
      </c>
      <c r="AX17" s="3">
        <f t="shared" si="10"/>
        <v>3435962.338359949</v>
      </c>
      <c r="AY17" s="3">
        <f>AX17*AX149/1000*Table!AX$225</f>
        <v>2292.2829905729427</v>
      </c>
      <c r="AZ17" s="48">
        <f t="shared" si="38"/>
        <v>57013.60716044399</v>
      </c>
      <c r="BA17" s="3">
        <f t="shared" si="39"/>
        <v>3856944.310035499</v>
      </c>
      <c r="BB17" s="3">
        <f>BA17*AX149/1000*Table!AX$225</f>
        <v>2573.138750322143</v>
      </c>
      <c r="BC17" s="103">
        <f t="shared" si="40"/>
        <v>57013.60716044399</v>
      </c>
      <c r="BD17" s="3">
        <f t="shared" si="11"/>
        <v>3911384.7784456206</v>
      </c>
      <c r="BE17" s="3">
        <f>BD17*BD149/1000*Table!BD$225</f>
        <v>2597.128885502779</v>
      </c>
      <c r="BF17" s="48">
        <f t="shared" si="41"/>
        <v>6299.805902504572</v>
      </c>
      <c r="BG17" s="3">
        <f t="shared" si="42"/>
        <v>3868130.0596629595</v>
      </c>
      <c r="BH17" s="3">
        <f>BG17*BD149/1000*Table!BD$225</f>
        <v>2568.4080907081047</v>
      </c>
      <c r="BI17" s="103">
        <f t="shared" si="43"/>
        <v>6299.805902504572</v>
      </c>
      <c r="BJ17" s="3">
        <f t="shared" si="12"/>
        <v>3871861.4574747556</v>
      </c>
      <c r="BL17">
        <v>17</v>
      </c>
      <c r="BO17" s="14" t="s">
        <v>47</v>
      </c>
      <c r="BP17" s="3">
        <f ca="1">INDIRECT(Table!$D$8&amp;Calculate!BL17)/1000</f>
        <v>3871.8614574747558</v>
      </c>
      <c r="BR17" s="14" t="s">
        <v>47</v>
      </c>
      <c r="BS17" s="3">
        <f ca="1">INDIRECT(Table!$D$8&amp;Calculate!BL38)/1000</f>
        <v>5250.206792422184</v>
      </c>
      <c r="BT17" s="3">
        <v>0</v>
      </c>
      <c r="BV17" t="s">
        <v>116</v>
      </c>
      <c r="BW17" s="28">
        <v>2001</v>
      </c>
      <c r="BX17">
        <v>2006</v>
      </c>
      <c r="BY17">
        <v>2011</v>
      </c>
      <c r="BZ17">
        <v>2016</v>
      </c>
      <c r="CA17">
        <v>2021</v>
      </c>
      <c r="CB17">
        <v>2026</v>
      </c>
      <c r="CC17">
        <v>2031</v>
      </c>
      <c r="CD17">
        <v>2036</v>
      </c>
      <c r="CE17">
        <v>2041</v>
      </c>
      <c r="CF17">
        <v>2046</v>
      </c>
      <c r="CG17">
        <v>2051</v>
      </c>
    </row>
    <row r="18" spans="1:86" ht="12.75">
      <c r="A18" s="16" t="s">
        <v>48</v>
      </c>
      <c r="B18" s="26">
        <v>2251085</v>
      </c>
      <c r="C18" s="3">
        <f>B18*B150/1000*Table!B$225</f>
        <v>2600.2492569181463</v>
      </c>
      <c r="D18" s="3">
        <f t="shared" si="14"/>
        <v>6495.308542925532</v>
      </c>
      <c r="E18" s="3">
        <f t="shared" si="15"/>
        <v>2845700.912042574</v>
      </c>
      <c r="F18" s="3">
        <f>E18*B150/1000*Table!B$225</f>
        <v>3287.0956369706137</v>
      </c>
      <c r="G18" s="103">
        <f t="shared" si="16"/>
        <v>6495.308542925532</v>
      </c>
      <c r="H18" s="3">
        <f t="shared" si="3"/>
        <v>2848909.1249485286</v>
      </c>
      <c r="I18" s="3">
        <f>H18*H150/1000*Table!H$225</f>
        <v>2117.1917306987475</v>
      </c>
      <c r="J18" s="48">
        <f t="shared" si="17"/>
        <v>5712.188134785748</v>
      </c>
      <c r="K18" s="3">
        <f t="shared" si="18"/>
        <v>1441465.8092450588</v>
      </c>
      <c r="L18" s="3">
        <f>K18*H150/1000*Table!H$225</f>
        <v>1071.2379221551178</v>
      </c>
      <c r="M18" s="103">
        <f t="shared" si="19"/>
        <v>5712.188134785748</v>
      </c>
      <c r="N18" s="3">
        <f t="shared" si="4"/>
        <v>1446106.7594576895</v>
      </c>
      <c r="O18" s="3">
        <f>N18*N150/1000*Table!N$225</f>
        <v>834.5109121458393</v>
      </c>
      <c r="P18" s="48">
        <f t="shared" si="20"/>
        <v>2537.9502999390324</v>
      </c>
      <c r="Q18" s="3">
        <f t="shared" si="21"/>
        <v>2558106.449362138</v>
      </c>
      <c r="R18" s="3">
        <f>Q18*N150/1000*Table!N$225</f>
        <v>1476.2172519157025</v>
      </c>
      <c r="S18" s="103">
        <f t="shared" si="22"/>
        <v>2537.9502999390324</v>
      </c>
      <c r="T18" s="3">
        <f t="shared" si="5"/>
        <v>2559168.1824101615</v>
      </c>
      <c r="U18" s="3">
        <f>T18*T150/1000*Table!T$225</f>
        <v>1352.3124504578811</v>
      </c>
      <c r="V18" s="48">
        <f t="shared" si="23"/>
        <v>4344.3560904831465</v>
      </c>
      <c r="W18" s="3">
        <f t="shared" si="24"/>
        <v>2975921.4308514</v>
      </c>
      <c r="X18" s="3">
        <f>W18*T150/1000*Table!T$225</f>
        <v>1572.5326808083094</v>
      </c>
      <c r="Y18" s="103">
        <f t="shared" si="25"/>
        <v>4344.3560904831465</v>
      </c>
      <c r="Z18" s="3">
        <f t="shared" si="6"/>
        <v>2978693.254261075</v>
      </c>
      <c r="AA18" s="3">
        <f>Z18*Z150/1000*Table!Z$225</f>
        <v>1583.6521974298257</v>
      </c>
      <c r="AB18" s="48">
        <f t="shared" si="26"/>
        <v>5142.738675821338</v>
      </c>
      <c r="AC18" s="3">
        <f t="shared" si="27"/>
        <v>3167865.648114629</v>
      </c>
      <c r="AD18" s="3">
        <f>AC18*Z150/1000*Table!Z$225</f>
        <v>1684.2276013559203</v>
      </c>
      <c r="AE18" s="103">
        <f t="shared" si="28"/>
        <v>5142.738675821338</v>
      </c>
      <c r="AF18" s="3">
        <f t="shared" si="7"/>
        <v>3171324.1591890943</v>
      </c>
      <c r="AG18" s="3">
        <f>AF18*AF150/1000*Table!AF$225</f>
        <v>1715.490959635169</v>
      </c>
      <c r="AH18" s="48">
        <f t="shared" si="29"/>
        <v>5700.809403598861</v>
      </c>
      <c r="AI18" s="3">
        <f t="shared" si="30"/>
        <v>2809126.736179494</v>
      </c>
      <c r="AJ18" s="3">
        <f>AI18*AF150/1000*Table!AF$225</f>
        <v>1519.5644716488375</v>
      </c>
      <c r="AK18" s="103">
        <f t="shared" si="31"/>
        <v>5700.809403598861</v>
      </c>
      <c r="AL18" s="3">
        <f t="shared" si="8"/>
        <v>2813307.9811114436</v>
      </c>
      <c r="AM18" s="3">
        <f>AL18*AL150/1000*Table!AL$225</f>
        <v>1529.2783847274588</v>
      </c>
      <c r="AN18" s="48">
        <f t="shared" si="32"/>
        <v>5189.692986089625</v>
      </c>
      <c r="AO18" s="3">
        <f t="shared" si="33"/>
        <v>2406783.347936836</v>
      </c>
      <c r="AP18" s="3">
        <f>AO18*AL150/1000*Table!AL$225</f>
        <v>1308.2967721392852</v>
      </c>
      <c r="AQ18" s="103">
        <f t="shared" si="34"/>
        <v>5189.692986089625</v>
      </c>
      <c r="AR18" s="3">
        <f t="shared" si="9"/>
        <v>2410664.7441507867</v>
      </c>
      <c r="AS18" s="3">
        <f>AR18*AR150/1000*Table!AR$225</f>
        <v>1323.762020071659</v>
      </c>
      <c r="AT18" s="48">
        <f t="shared" si="35"/>
        <v>49631.65120431863</v>
      </c>
      <c r="AU18" s="3">
        <f t="shared" si="36"/>
        <v>2638870.5485866205</v>
      </c>
      <c r="AV18" s="3">
        <f>AU18*AR150/1000*Table!AR$225</f>
        <v>1449.0760760410944</v>
      </c>
      <c r="AW18" s="103">
        <f t="shared" si="37"/>
        <v>49631.65120431863</v>
      </c>
      <c r="AX18" s="3">
        <f t="shared" si="10"/>
        <v>2687053.1237148982</v>
      </c>
      <c r="AY18" s="3">
        <f>AX18*AX150/1000*Table!AX$225</f>
        <v>1472.622957218753</v>
      </c>
      <c r="AZ18" s="48">
        <f t="shared" si="38"/>
        <v>50552.67383388449</v>
      </c>
      <c r="BA18" s="3">
        <f t="shared" si="39"/>
        <v>2851178.2921145395</v>
      </c>
      <c r="BB18" s="3">
        <f>BA18*AX150/1000*Table!AX$225</f>
        <v>1562.5707474985966</v>
      </c>
      <c r="BC18" s="103">
        <f t="shared" si="40"/>
        <v>50552.67383388449</v>
      </c>
      <c r="BD18" s="3">
        <f t="shared" si="11"/>
        <v>2900168.3952009254</v>
      </c>
      <c r="BE18" s="3">
        <f>BD18*BD150/1000*Table!BD$225</f>
        <v>1581.9095710065249</v>
      </c>
      <c r="BF18" s="48">
        <f t="shared" si="41"/>
        <v>5296.117327439623</v>
      </c>
      <c r="BG18" s="3">
        <f t="shared" si="42"/>
        <v>3217315.7378782057</v>
      </c>
      <c r="BH18" s="3">
        <f>BG18*BD150/1000*Table!BD$225</f>
        <v>1754.8989800458985</v>
      </c>
      <c r="BI18" s="103">
        <f t="shared" si="43"/>
        <v>5296.117327439623</v>
      </c>
      <c r="BJ18" s="3">
        <f t="shared" si="12"/>
        <v>3220856.9562255996</v>
      </c>
      <c r="BL18">
        <v>18</v>
      </c>
      <c r="BO18" s="14" t="s">
        <v>48</v>
      </c>
      <c r="BP18" s="3">
        <f ca="1">INDIRECT(Table!$D$8&amp;Calculate!BL18)/1000</f>
        <v>3220.8569562256</v>
      </c>
      <c r="BR18" s="14" t="s">
        <v>48</v>
      </c>
      <c r="BS18" s="3">
        <f ca="1">INDIRECT(Table!$D$8&amp;Calculate!BL39)/1000</f>
        <v>5046.56181522719</v>
      </c>
      <c r="BT18" s="3">
        <v>0</v>
      </c>
      <c r="BV18" t="s">
        <v>117</v>
      </c>
      <c r="BW18" s="28" t="s">
        <v>118</v>
      </c>
      <c r="BX18" s="28" t="s">
        <v>119</v>
      </c>
      <c r="BY18" s="1" t="s">
        <v>120</v>
      </c>
      <c r="BZ18" s="1" t="s">
        <v>121</v>
      </c>
      <c r="CA18" s="1" t="s">
        <v>122</v>
      </c>
      <c r="CB18" s="1" t="s">
        <v>123</v>
      </c>
      <c r="CC18" s="1" t="s">
        <v>124</v>
      </c>
      <c r="CD18" s="1" t="s">
        <v>125</v>
      </c>
      <c r="CE18" s="1" t="s">
        <v>126</v>
      </c>
      <c r="CF18" s="1" t="s">
        <v>127</v>
      </c>
      <c r="CG18" s="1" t="s">
        <v>128</v>
      </c>
      <c r="CH18" s="1"/>
    </row>
    <row r="19" spans="1:86" ht="12.75">
      <c r="A19" s="16" t="s">
        <v>49</v>
      </c>
      <c r="B19" s="26">
        <v>2083752</v>
      </c>
      <c r="C19" s="3">
        <f>B19*B151/1000*Table!B$225</f>
        <v>2348.9101160221885</v>
      </c>
      <c r="D19" s="3">
        <f t="shared" si="14"/>
        <v>4337.358499839694</v>
      </c>
      <c r="E19" s="3">
        <f t="shared" si="15"/>
        <v>1618676.2992726224</v>
      </c>
      <c r="F19" s="3">
        <f>E19*B151/1000*Table!B$225</f>
        <v>1824.6533819412398</v>
      </c>
      <c r="G19" s="103">
        <f t="shared" si="16"/>
        <v>4337.358499839694</v>
      </c>
      <c r="H19" s="3">
        <f t="shared" si="3"/>
        <v>1621189.004390521</v>
      </c>
      <c r="I19" s="3">
        <f>H19*H151/1000*Table!H$225</f>
        <v>1175.7433310537251</v>
      </c>
      <c r="J19" s="48">
        <f t="shared" si="17"/>
        <v>2344.924986407756</v>
      </c>
      <c r="K19" s="3">
        <f t="shared" si="18"/>
        <v>2067789.3855629712</v>
      </c>
      <c r="L19" s="3">
        <f>K19*H151/1000*Table!H$225</f>
        <v>1499.63364759764</v>
      </c>
      <c r="M19" s="103">
        <f t="shared" si="19"/>
        <v>2344.924986407756</v>
      </c>
      <c r="N19" s="3">
        <f t="shared" si="4"/>
        <v>2068634.6769017815</v>
      </c>
      <c r="O19" s="3">
        <f>N19*N151/1000*Table!N$225</f>
        <v>1164.9646470669006</v>
      </c>
      <c r="P19" s="48">
        <f t="shared" si="20"/>
        <v>2619.014819538237</v>
      </c>
      <c r="Q19" s="3">
        <f t="shared" si="21"/>
        <v>1052134.9753744893</v>
      </c>
      <c r="R19" s="3">
        <f>Q19*N151/1000*Table!N$225</f>
        <v>592.5164379868316</v>
      </c>
      <c r="S19" s="103">
        <f t="shared" si="22"/>
        <v>2619.014819538237</v>
      </c>
      <c r="T19" s="3">
        <f t="shared" si="5"/>
        <v>1054161.4737560407</v>
      </c>
      <c r="U19" s="3">
        <f>T19*T151/1000*Table!T$225</f>
        <v>543.6039962260215</v>
      </c>
      <c r="V19" s="48">
        <f t="shared" si="23"/>
        <v>1290.9372312540222</v>
      </c>
      <c r="W19" s="3">
        <f t="shared" si="24"/>
        <v>1872923.7376298176</v>
      </c>
      <c r="X19" s="3">
        <f>W19*T151/1000*Table!T$225</f>
        <v>965.8186660668704</v>
      </c>
      <c r="Y19" s="103">
        <f t="shared" si="25"/>
        <v>1290.9372312540222</v>
      </c>
      <c r="Z19" s="3">
        <f t="shared" si="6"/>
        <v>1873248.8561950047</v>
      </c>
      <c r="AA19" s="3">
        <f>Z19*Z151/1000*Table!Z$225</f>
        <v>971.9116405388249</v>
      </c>
      <c r="AB19" s="48">
        <f t="shared" si="26"/>
        <v>2333.1117937416348</v>
      </c>
      <c r="AC19" s="3">
        <f t="shared" si="27"/>
        <v>2193252.173346274</v>
      </c>
      <c r="AD19" s="3">
        <f>AC19*Z151/1000*Table!Z$225</f>
        <v>1137.9413423169958</v>
      </c>
      <c r="AE19" s="103">
        <f t="shared" si="28"/>
        <v>2333.1117937416348</v>
      </c>
      <c r="AF19" s="3">
        <f t="shared" si="7"/>
        <v>2194447.3437976986</v>
      </c>
      <c r="AG19" s="3">
        <f>AF19*AF151/1000*Table!AF$225</f>
        <v>1158.4311944760173</v>
      </c>
      <c r="AH19" s="48">
        <f t="shared" si="29"/>
        <v>2845.7218464579737</v>
      </c>
      <c r="AI19" s="3">
        <f t="shared" si="30"/>
        <v>2350426.847404304</v>
      </c>
      <c r="AJ19" s="3">
        <f>AI19*AF151/1000*Table!AF$225</f>
        <v>1240.77152639944</v>
      </c>
      <c r="AK19" s="103">
        <f t="shared" si="31"/>
        <v>2845.7218464579737</v>
      </c>
      <c r="AL19" s="3">
        <f t="shared" si="8"/>
        <v>2352031.7977243625</v>
      </c>
      <c r="AM19" s="3">
        <f>AL19*AL151/1000*Table!AL$225</f>
        <v>1247.698756892599</v>
      </c>
      <c r="AN19" s="48">
        <f t="shared" si="32"/>
        <v>3129.9613534489927</v>
      </c>
      <c r="AO19" s="3">
        <f t="shared" si="33"/>
        <v>2099553.5654251</v>
      </c>
      <c r="AP19" s="3">
        <f>AO19*AL151/1000*Table!AL$225</f>
        <v>1113.7648632747423</v>
      </c>
      <c r="AQ19" s="103">
        <f t="shared" si="34"/>
        <v>3129.9613534489927</v>
      </c>
      <c r="AR19" s="3">
        <f t="shared" si="9"/>
        <v>2101569.7619152744</v>
      </c>
      <c r="AS19" s="3">
        <f>AR19*AR151/1000*Table!AR$225</f>
        <v>1126.1965511461256</v>
      </c>
      <c r="AT19" s="48">
        <f t="shared" si="35"/>
        <v>42150.216813216364</v>
      </c>
      <c r="AU19" s="3">
        <f t="shared" si="36"/>
        <v>1845948.5472420924</v>
      </c>
      <c r="AV19" s="3">
        <f>AU19*AR151/1000*Table!AR$225</f>
        <v>989.2133609700543</v>
      </c>
      <c r="AW19" s="103">
        <f t="shared" si="37"/>
        <v>42150.216813216364</v>
      </c>
      <c r="AX19" s="3">
        <f t="shared" si="10"/>
        <v>1887109.5506943387</v>
      </c>
      <c r="AY19" s="3">
        <f>AX19*AX151/1000*Table!AX$225</f>
        <v>1009.2754473127651</v>
      </c>
      <c r="AZ19" s="48">
        <f t="shared" si="38"/>
        <v>43032.98131062139</v>
      </c>
      <c r="BA19" s="3">
        <f t="shared" si="39"/>
        <v>2069243.276405453</v>
      </c>
      <c r="BB19" s="3">
        <f>BA19*AX151/1000*Table!AX$225</f>
        <v>1106.6853180964672</v>
      </c>
      <c r="BC19" s="103">
        <f t="shared" si="40"/>
        <v>43032.98131062139</v>
      </c>
      <c r="BD19" s="3">
        <f t="shared" si="11"/>
        <v>2111169.572397978</v>
      </c>
      <c r="BE19" s="3">
        <f>BD19*BD151/1000*Table!BD$225</f>
        <v>1123.7736324198372</v>
      </c>
      <c r="BF19" s="48">
        <f t="shared" si="41"/>
        <v>4672.980231261208</v>
      </c>
      <c r="BG19" s="3">
        <f t="shared" si="42"/>
        <v>2212692.366848999</v>
      </c>
      <c r="BH19" s="3">
        <f>BG19*BD151/1000*Table!BD$225</f>
        <v>1177.8141230489477</v>
      </c>
      <c r="BI19" s="103">
        <f t="shared" si="43"/>
        <v>4672.980231261208</v>
      </c>
      <c r="BJ19" s="3">
        <f t="shared" si="12"/>
        <v>2216187.5329572116</v>
      </c>
      <c r="BL19">
        <v>19</v>
      </c>
      <c r="BO19" s="14" t="s">
        <v>49</v>
      </c>
      <c r="BP19" s="3">
        <f ca="1">INDIRECT(Table!$D$8&amp;Calculate!BL19)/1000</f>
        <v>2216.1875329572117</v>
      </c>
      <c r="BR19" s="14" t="s">
        <v>49</v>
      </c>
      <c r="BS19" s="3">
        <f ca="1">INDIRECT(Table!$D$8&amp;Calculate!BL40)/1000</f>
        <v>4089.4680162622026</v>
      </c>
      <c r="BT19" s="3">
        <v>0</v>
      </c>
      <c r="BV19" t="s">
        <v>129</v>
      </c>
      <c r="BW19" s="28" t="s">
        <v>118</v>
      </c>
      <c r="BX19" s="28" t="s">
        <v>119</v>
      </c>
      <c r="BY19" s="1" t="s">
        <v>120</v>
      </c>
      <c r="BZ19" s="1" t="s">
        <v>121</v>
      </c>
      <c r="CA19" s="1" t="s">
        <v>122</v>
      </c>
      <c r="CB19" s="1" t="s">
        <v>123</v>
      </c>
      <c r="CC19" s="1" t="s">
        <v>124</v>
      </c>
      <c r="CD19" s="1" t="s">
        <v>125</v>
      </c>
      <c r="CE19" s="1" t="s">
        <v>126</v>
      </c>
      <c r="CF19" s="1" t="s">
        <v>127</v>
      </c>
      <c r="CG19" s="1" t="s">
        <v>128</v>
      </c>
      <c r="CH19" s="1"/>
    </row>
    <row r="20" spans="1:86" ht="12.75">
      <c r="A20" s="16" t="s">
        <v>50</v>
      </c>
      <c r="B20" s="26">
        <v>831215</v>
      </c>
      <c r="C20" s="3">
        <f>B20*B152/1000*Table!B$225</f>
        <v>1083.8156338585854</v>
      </c>
      <c r="D20" s="3">
        <f t="shared" si="14"/>
        <v>1667.0121932382676</v>
      </c>
      <c r="E20" s="3">
        <f t="shared" si="15"/>
        <v>1341071.759489793</v>
      </c>
      <c r="F20" s="3">
        <f>E20*B152/1000*Table!B$225</f>
        <v>1748.6144247412265</v>
      </c>
      <c r="G20" s="103">
        <f t="shared" si="16"/>
        <v>1667.0121932382676</v>
      </c>
      <c r="H20" s="3">
        <f t="shared" si="3"/>
        <v>1340990.1572582903</v>
      </c>
      <c r="I20" s="3">
        <f>H20*H152/1000*Table!H$225</f>
        <v>1124.9316494731308</v>
      </c>
      <c r="J20" s="48">
        <f t="shared" si="17"/>
        <v>1868.8180043029702</v>
      </c>
      <c r="K20" s="3">
        <f t="shared" si="18"/>
        <v>1055118.9177827386</v>
      </c>
      <c r="L20" s="3">
        <f>K20*H152/1000*Table!H$225</f>
        <v>885.1195947615169</v>
      </c>
      <c r="M20" s="103">
        <f t="shared" si="19"/>
        <v>1868.8180043029702</v>
      </c>
      <c r="N20" s="3">
        <f t="shared" si="4"/>
        <v>1056102.61619228</v>
      </c>
      <c r="O20" s="3">
        <f>N20*N152/1000*Table!N$225</f>
        <v>687.9497781224886</v>
      </c>
      <c r="P20" s="48">
        <f t="shared" si="20"/>
        <v>1288.2685013433456</v>
      </c>
      <c r="Q20" s="3">
        <f t="shared" si="21"/>
        <v>1350218.8486230415</v>
      </c>
      <c r="R20" s="3">
        <f>Q20*N152/1000*Table!N$225</f>
        <v>879.5383545929079</v>
      </c>
      <c r="S20" s="103">
        <f t="shared" si="22"/>
        <v>1288.2685013433456</v>
      </c>
      <c r="T20" s="3">
        <f t="shared" si="5"/>
        <v>1350627.578769792</v>
      </c>
      <c r="U20" s="3">
        <f>T20*T152/1000*Table!T$225</f>
        <v>805.6247222561616</v>
      </c>
      <c r="V20" s="48">
        <f t="shared" si="23"/>
        <v>1593.6014420992058</v>
      </c>
      <c r="W20" s="3">
        <f t="shared" si="24"/>
        <v>692814.7519945392</v>
      </c>
      <c r="X20" s="3">
        <f>W20*T152/1000*Table!T$225</f>
        <v>413.25136619745115</v>
      </c>
      <c r="Y20" s="103">
        <f t="shared" si="25"/>
        <v>1593.6014420992058</v>
      </c>
      <c r="Z20" s="3">
        <f t="shared" si="6"/>
        <v>693995.1020704409</v>
      </c>
      <c r="AA20" s="3">
        <f>Z20*Z152/1000*Table!Z$225</f>
        <v>416.49460852782295</v>
      </c>
      <c r="AB20" s="48">
        <f t="shared" si="26"/>
        <v>832.8035980133757</v>
      </c>
      <c r="AC20" s="3">
        <f t="shared" si="27"/>
        <v>1239931.7498276327</v>
      </c>
      <c r="AD20" s="3">
        <f>AC20*Z152/1000*Table!Z$225</f>
        <v>744.1333335134418</v>
      </c>
      <c r="AE20" s="103">
        <f t="shared" si="28"/>
        <v>832.8035980133757</v>
      </c>
      <c r="AF20" s="3">
        <f t="shared" si="7"/>
        <v>1240020.4200921326</v>
      </c>
      <c r="AG20" s="3">
        <f>AF20*AF152/1000*Table!AF$225</f>
        <v>757.173816406766</v>
      </c>
      <c r="AH20" s="48">
        <f t="shared" si="29"/>
        <v>1549.3239524827832</v>
      </c>
      <c r="AI20" s="3">
        <f t="shared" si="30"/>
        <v>1463720.796793645</v>
      </c>
      <c r="AJ20" s="3">
        <f>AI20*AF152/1000*Table!AF$225</f>
        <v>893.7683959912946</v>
      </c>
      <c r="AK20" s="103">
        <f t="shared" si="31"/>
        <v>1549.3239524827832</v>
      </c>
      <c r="AL20" s="3">
        <f t="shared" si="8"/>
        <v>1464376.3523501365</v>
      </c>
      <c r="AM20" s="3">
        <f>AL20*AL152/1000*Table!AL$225</f>
        <v>898.5472751428597</v>
      </c>
      <c r="AN20" s="48">
        <f t="shared" si="32"/>
        <v>1877.5633875749315</v>
      </c>
      <c r="AO20" s="3">
        <f t="shared" si="33"/>
        <v>1581651.227950819</v>
      </c>
      <c r="AP20" s="3">
        <f>AO20*AL152/1000*Table!AL$225</f>
        <v>970.5076149452572</v>
      </c>
      <c r="AQ20" s="103">
        <f t="shared" si="34"/>
        <v>1877.5633875749315</v>
      </c>
      <c r="AR20" s="3">
        <f t="shared" si="9"/>
        <v>1582558.2837234486</v>
      </c>
      <c r="AS20" s="3">
        <f>AR20*AR152/1000*Table!AR$225</f>
        <v>980.9610562517834</v>
      </c>
      <c r="AT20" s="48">
        <f t="shared" si="35"/>
        <v>32245.93471043751</v>
      </c>
      <c r="AU20" s="3">
        <f t="shared" si="36"/>
        <v>1451959.3036621886</v>
      </c>
      <c r="AV20" s="3">
        <f>AU20*AR152/1000*Table!AR$225</f>
        <v>900.0082630788988</v>
      </c>
      <c r="AW20" s="103">
        <f t="shared" si="37"/>
        <v>32245.93471043751</v>
      </c>
      <c r="AX20" s="3">
        <f t="shared" si="10"/>
        <v>1483305.230109547</v>
      </c>
      <c r="AY20" s="3">
        <f>AX20*AX152/1000*Table!AX$225</f>
        <v>917.6240651224579</v>
      </c>
      <c r="AZ20" s="48">
        <f t="shared" si="38"/>
        <v>33160.71703322302</v>
      </c>
      <c r="BA20" s="3">
        <f t="shared" si="39"/>
        <v>1318829.3277538707</v>
      </c>
      <c r="BB20" s="3">
        <f>BA20*AX152/1000*Table!AX$225</f>
        <v>815.8735669305559</v>
      </c>
      <c r="BC20" s="103">
        <f t="shared" si="40"/>
        <v>33160.71703322302</v>
      </c>
      <c r="BD20" s="3">
        <f t="shared" si="11"/>
        <v>1351174.171220163</v>
      </c>
      <c r="BE20" s="3">
        <f>BD20*BD152/1000*Table!BD$225</f>
        <v>831.9337163173626</v>
      </c>
      <c r="BF20" s="48">
        <f t="shared" si="41"/>
        <v>2932.048993905841</v>
      </c>
      <c r="BG20" s="3">
        <f t="shared" si="42"/>
        <v>1458733.0529782844</v>
      </c>
      <c r="BH20" s="3">
        <f>BG20*BD152/1000*Table!BD$225</f>
        <v>898.1589758952362</v>
      </c>
      <c r="BI20" s="103">
        <f t="shared" si="43"/>
        <v>2932.048993905841</v>
      </c>
      <c r="BJ20" s="3">
        <f t="shared" si="12"/>
        <v>1460766.942996295</v>
      </c>
      <c r="BL20">
        <v>20</v>
      </c>
      <c r="BO20" s="14" t="s">
        <v>50</v>
      </c>
      <c r="BP20" s="3">
        <f ca="1">INDIRECT(Table!$D$8&amp;Calculate!BL20)/1000</f>
        <v>1460.766942996295</v>
      </c>
      <c r="BR20" s="14" t="s">
        <v>50</v>
      </c>
      <c r="BS20" s="3">
        <f ca="1">INDIRECT(Table!$D$8&amp;Calculate!BL41)/1000</f>
        <v>3135.483218146844</v>
      </c>
      <c r="BT20" s="3">
        <v>0</v>
      </c>
      <c r="BV20" t="s">
        <v>130</v>
      </c>
      <c r="BW20" s="28" t="s">
        <v>118</v>
      </c>
      <c r="BX20" s="28" t="s">
        <v>119</v>
      </c>
      <c r="BY20" s="1" t="s">
        <v>120</v>
      </c>
      <c r="BZ20" s="1" t="s">
        <v>121</v>
      </c>
      <c r="CA20" s="1" t="s">
        <v>122</v>
      </c>
      <c r="CB20" s="1" t="s">
        <v>123</v>
      </c>
      <c r="CC20" s="1" t="s">
        <v>124</v>
      </c>
      <c r="CD20" s="1" t="s">
        <v>125</v>
      </c>
      <c r="CE20" s="1" t="s">
        <v>126</v>
      </c>
      <c r="CF20" s="1" t="s">
        <v>127</v>
      </c>
      <c r="CG20" s="1" t="s">
        <v>128</v>
      </c>
      <c r="CH20" s="1"/>
    </row>
    <row r="21" spans="1:86" ht="12.75">
      <c r="A21" s="16" t="s">
        <v>65</v>
      </c>
      <c r="B21" s="26">
        <v>328978</v>
      </c>
      <c r="C21" s="3">
        <f>B21*B153/1000*Table!B$225</f>
        <v>412.7723217601529</v>
      </c>
      <c r="D21" s="3">
        <f t="shared" si="14"/>
        <v>828.2947675854724</v>
      </c>
      <c r="E21" s="3">
        <f t="shared" si="15"/>
        <v>452282.8689932868</v>
      </c>
      <c r="F21" s="3">
        <f>E21*B153/1000*Table!B$225</f>
        <v>567.4842996391919</v>
      </c>
      <c r="G21" s="103">
        <f t="shared" si="16"/>
        <v>828.2947675854724</v>
      </c>
      <c r="H21" s="3">
        <f t="shared" si="3"/>
        <v>452543.6794612331</v>
      </c>
      <c r="I21" s="3">
        <f>H21*H153/1000*Table!H$225</f>
        <v>365.3109765845798</v>
      </c>
      <c r="J21" s="48">
        <f t="shared" si="17"/>
        <v>791.7618648703973</v>
      </c>
      <c r="K21" s="3">
        <f t="shared" si="18"/>
        <v>738863.3717477714</v>
      </c>
      <c r="L21" s="3">
        <f>K21*H153/1000*Table!H$225</f>
        <v>596.4394425243011</v>
      </c>
      <c r="M21" s="103">
        <f t="shared" si="19"/>
        <v>791.7618648703973</v>
      </c>
      <c r="N21" s="3">
        <f t="shared" si="4"/>
        <v>739058.6941701175</v>
      </c>
      <c r="O21" s="3">
        <f>N21*N153/1000*Table!N$225</f>
        <v>463.2668446470408</v>
      </c>
      <c r="P21" s="48">
        <f t="shared" si="20"/>
        <v>1131.805649423262</v>
      </c>
      <c r="Q21" s="3">
        <f t="shared" si="21"/>
        <v>583785.4252951682</v>
      </c>
      <c r="R21" s="3">
        <f>Q21*N153/1000*Table!N$225</f>
        <v>365.93633775069446</v>
      </c>
      <c r="S21" s="103">
        <f t="shared" si="22"/>
        <v>1131.805649423262</v>
      </c>
      <c r="T21" s="3">
        <f t="shared" si="5"/>
        <v>584551.2946068408</v>
      </c>
      <c r="U21" s="3">
        <f>T21*T153/1000*Table!T$225</f>
        <v>335.5223623406823</v>
      </c>
      <c r="V21" s="48">
        <f t="shared" si="23"/>
        <v>865.8833418109837</v>
      </c>
      <c r="W21" s="3">
        <f t="shared" si="24"/>
        <v>752350.2186885737</v>
      </c>
      <c r="X21" s="3">
        <f>W21*T153/1000*Table!T$225</f>
        <v>431.836051020466</v>
      </c>
      <c r="Y21" s="103">
        <f t="shared" si="25"/>
        <v>865.8833418109837</v>
      </c>
      <c r="Z21" s="3">
        <f t="shared" si="6"/>
        <v>752784.2659793643</v>
      </c>
      <c r="AA21" s="3">
        <f>Z21*Z153/1000*Table!Z$225</f>
        <v>434.735578913147</v>
      </c>
      <c r="AB21" s="48">
        <f t="shared" si="26"/>
        <v>1134.0948491699423</v>
      </c>
      <c r="AC21" s="3">
        <f t="shared" si="27"/>
        <v>389671.22114758263</v>
      </c>
      <c r="AD21" s="3">
        <f>AC21*Z153/1000*Table!Z$225</f>
        <v>225.0365098837375</v>
      </c>
      <c r="AE21" s="103">
        <f t="shared" si="28"/>
        <v>1134.0948491699423</v>
      </c>
      <c r="AF21" s="3">
        <f t="shared" si="7"/>
        <v>390580.2794868688</v>
      </c>
      <c r="AG21" s="3">
        <f>AF21*AF153/1000*Table!AF$225</f>
        <v>229.49791002854158</v>
      </c>
      <c r="AH21" s="48">
        <f t="shared" si="29"/>
        <v>612.655543127308</v>
      </c>
      <c r="AI21" s="3">
        <f t="shared" si="30"/>
        <v>702271.8179764898</v>
      </c>
      <c r="AJ21" s="3">
        <f>AI21*AF153/1000*Table!AF$225</f>
        <v>412.64222225783743</v>
      </c>
      <c r="AK21" s="103">
        <f t="shared" si="31"/>
        <v>612.655543127308</v>
      </c>
      <c r="AL21" s="3">
        <f t="shared" si="8"/>
        <v>702471.8312973593</v>
      </c>
      <c r="AM21" s="3">
        <f>AL21*AL153/1000*Table!AL$225</f>
        <v>414.7809587949347</v>
      </c>
      <c r="AN21" s="48">
        <f t="shared" si="32"/>
        <v>1130.741865601617</v>
      </c>
      <c r="AO21" s="3">
        <f t="shared" si="33"/>
        <v>836966.2641726929</v>
      </c>
      <c r="AP21" s="3">
        <f>AO21*AL153/1000*Table!AL$225</f>
        <v>494.19443465998694</v>
      </c>
      <c r="AQ21" s="103">
        <f t="shared" si="34"/>
        <v>1130.741865601617</v>
      </c>
      <c r="AR21" s="3">
        <f t="shared" si="9"/>
        <v>837602.8116036345</v>
      </c>
      <c r="AS21" s="3">
        <f>AR21*AR153/1000*Table!AR$225</f>
        <v>499.6108393144873</v>
      </c>
      <c r="AT21" s="48">
        <f t="shared" si="35"/>
        <v>21796.344726884727</v>
      </c>
      <c r="AU21" s="3">
        <f t="shared" si="36"/>
        <v>930677.1261273805</v>
      </c>
      <c r="AV21" s="3">
        <f>AU21*AR153/1000*Table!AR$225</f>
        <v>555.1275302253032</v>
      </c>
      <c r="AW21" s="103">
        <f t="shared" si="37"/>
        <v>21796.344726884727</v>
      </c>
      <c r="AX21" s="3">
        <f t="shared" si="10"/>
        <v>951918.34332404</v>
      </c>
      <c r="AY21" s="3">
        <f>AX21*AX153/1000*Table!AX$225</f>
        <v>566.6770637753414</v>
      </c>
      <c r="AZ21" s="48">
        <f t="shared" si="38"/>
        <v>22869.71407148205</v>
      </c>
      <c r="BA21" s="3">
        <f t="shared" si="39"/>
        <v>882758.4895393417</v>
      </c>
      <c r="BB21" s="3">
        <f>BA21*AX153/1000*Table!AX$225</f>
        <v>525.506197441375</v>
      </c>
      <c r="BC21" s="103">
        <f t="shared" si="40"/>
        <v>22869.71407148205</v>
      </c>
      <c r="BD21" s="3">
        <f t="shared" si="11"/>
        <v>905102.6974133824</v>
      </c>
      <c r="BE21" s="3">
        <f>BD21*BD153/1000*Table!BD$225</f>
        <v>536.2618754707207</v>
      </c>
      <c r="BF21" s="48">
        <f t="shared" si="41"/>
        <v>2110.6946141081635</v>
      </c>
      <c r="BG21" s="3">
        <f t="shared" si="42"/>
        <v>796349.1365949243</v>
      </c>
      <c r="BH21" s="3">
        <f>BG21*BD153/1000*Table!BD$225</f>
        <v>471.8267692056589</v>
      </c>
      <c r="BI21" s="103">
        <f t="shared" si="43"/>
        <v>2110.6946141081635</v>
      </c>
      <c r="BJ21" s="3">
        <f t="shared" si="12"/>
        <v>797988.0044398268</v>
      </c>
      <c r="BL21">
        <v>21</v>
      </c>
      <c r="BO21" s="14" t="s">
        <v>65</v>
      </c>
      <c r="BP21" s="3">
        <f ca="1">INDIRECT(Table!$D$8&amp;Calculate!BL21)/1000</f>
        <v>797.9880044398268</v>
      </c>
      <c r="BR21" s="14" t="s">
        <v>65</v>
      </c>
      <c r="BS21" s="3">
        <f ca="1">INDIRECT(Table!$D$8&amp;Calculate!BL42)/1000</f>
        <v>2022.9927143889352</v>
      </c>
      <c r="BT21" s="3">
        <v>0</v>
      </c>
      <c r="BV21" t="s">
        <v>131</v>
      </c>
      <c r="BW21" s="28" t="s">
        <v>118</v>
      </c>
      <c r="BX21" s="28" t="s">
        <v>119</v>
      </c>
      <c r="BY21" s="1" t="s">
        <v>120</v>
      </c>
      <c r="BZ21" s="1" t="s">
        <v>121</v>
      </c>
      <c r="CA21" s="1" t="s">
        <v>122</v>
      </c>
      <c r="CB21" s="1" t="s">
        <v>123</v>
      </c>
      <c r="CC21" s="1" t="s">
        <v>124</v>
      </c>
      <c r="CD21" s="1" t="s">
        <v>125</v>
      </c>
      <c r="CE21" s="1" t="s">
        <v>126</v>
      </c>
      <c r="CF21" s="1" t="s">
        <v>127</v>
      </c>
      <c r="CG21" s="1" t="s">
        <v>128</v>
      </c>
      <c r="CH21" s="1"/>
    </row>
    <row r="22" spans="1:72" ht="12.75">
      <c r="A22" s="16" t="s">
        <v>66</v>
      </c>
      <c r="B22" s="26">
        <v>263511</v>
      </c>
      <c r="C22" s="3">
        <f>B22*B154/1000*Table!B$225</f>
        <v>353.50694671322293</v>
      </c>
      <c r="D22" s="3">
        <f t="shared" si="14"/>
        <v>513.1626354323023</v>
      </c>
      <c r="E22" s="3">
        <f>(B21-C21+D21+B22-C22+D22)*B64</f>
        <v>213136.72778115867</v>
      </c>
      <c r="F22" s="3">
        <f>E22*B154/1000*Table!B$225</f>
        <v>285.9285338007322</v>
      </c>
      <c r="G22" s="103">
        <f t="shared" si="16"/>
        <v>513.1626354323023</v>
      </c>
      <c r="H22" s="3">
        <f t="shared" si="3"/>
        <v>213363.96188279023</v>
      </c>
      <c r="I22" s="3">
        <f>H22*H154/1000*Table!H$225</f>
        <v>184.1529907079188</v>
      </c>
      <c r="J22" s="48">
        <f t="shared" si="17"/>
        <v>288.73096306384014</v>
      </c>
      <c r="K22" s="3">
        <f>(H21-I21+J21+H22-I22+J22)*H64</f>
        <v>242196.8836013162</v>
      </c>
      <c r="L22" s="3">
        <f>K22*H154/1000*Table!H$225</f>
        <v>209.03849020117758</v>
      </c>
      <c r="M22" s="103">
        <f t="shared" si="19"/>
        <v>288.73096306384014</v>
      </c>
      <c r="N22" s="3">
        <f t="shared" si="4"/>
        <v>242276.57607417885</v>
      </c>
      <c r="O22" s="3">
        <f>N22*N154/1000*Table!N$225</f>
        <v>162.37501633471734</v>
      </c>
      <c r="P22" s="48">
        <f t="shared" si="20"/>
        <v>286.9740126758573</v>
      </c>
      <c r="Q22" s="3">
        <f>(N21-O21+P21+N22-O22+P22)*N64</f>
        <v>357943.95854872506</v>
      </c>
      <c r="R22" s="3">
        <f>Q22*N154/1000*Table!N$225</f>
        <v>239.89589525347844</v>
      </c>
      <c r="S22" s="103">
        <f t="shared" si="22"/>
        <v>286.9740126758573</v>
      </c>
      <c r="T22" s="3">
        <f t="shared" si="5"/>
        <v>357991.03666614747</v>
      </c>
      <c r="U22" s="3">
        <f>T22*T154/1000*Table!T$225</f>
        <v>219.69819475636902</v>
      </c>
      <c r="V22" s="48">
        <f t="shared" si="23"/>
        <v>410.1541656753203</v>
      </c>
      <c r="W22" s="3">
        <f>(T21-U21+V21+T22-U22+V22)*T64</f>
        <v>346118.1220426195</v>
      </c>
      <c r="X22" s="3">
        <f>W22*T154/1000*Table!T$225</f>
        <v>212.41181704820823</v>
      </c>
      <c r="Y22" s="103">
        <f t="shared" si="25"/>
        <v>410.1541656753203</v>
      </c>
      <c r="Z22" s="3">
        <f t="shared" si="6"/>
        <v>346315.86439124664</v>
      </c>
      <c r="AA22" s="3">
        <f>Z22*Z154/1000*Table!Z$225</f>
        <v>213.83684049668494</v>
      </c>
      <c r="AB22" s="48">
        <f t="shared" si="26"/>
        <v>403.5426551633209</v>
      </c>
      <c r="AC22" s="3">
        <f>(Z21-AA21+AB21+Z22-AA22+AB22)*Z64</f>
        <v>406477.23887878365</v>
      </c>
      <c r="AD22" s="3">
        <f>AC22*Z154/1000*Table!Z$225</f>
        <v>250.98419516080455</v>
      </c>
      <c r="AE22" s="103">
        <f t="shared" si="28"/>
        <v>403.5426551633209</v>
      </c>
      <c r="AF22" s="3">
        <f t="shared" si="7"/>
        <v>406629.7973387862</v>
      </c>
      <c r="AG22" s="3">
        <f>AF22*AF154/1000*Table!AF$225</f>
        <v>255.46012142290402</v>
      </c>
      <c r="AH22" s="48">
        <f t="shared" si="29"/>
        <v>493.33675323740323</v>
      </c>
      <c r="AI22" s="3">
        <f>(AF21-AG21+AH21+AF22-AG22+AH22)*AF64</f>
        <v>297070.0262473536</v>
      </c>
      <c r="AJ22" s="3">
        <f>AI22*AF154/1000*Table!AF$225</f>
        <v>186.6305555395056</v>
      </c>
      <c r="AK22" s="103">
        <f t="shared" si="31"/>
        <v>493.33675323740323</v>
      </c>
      <c r="AL22" s="3">
        <f t="shared" si="8"/>
        <v>297376.7324450515</v>
      </c>
      <c r="AM22" s="3">
        <f>AL22*AL154/1000*Table!AL$225</f>
        <v>187.73808064838963</v>
      </c>
      <c r="AN22" s="48">
        <f t="shared" si="32"/>
        <v>370.2369496896531</v>
      </c>
      <c r="AO22" s="3">
        <f>(AL21-AM21+AN21+AL22-AM22+AN22)*AL64</f>
        <v>375665.2248948844</v>
      </c>
      <c r="AP22" s="3">
        <f>AO22*AL154/1000*Table!AL$225</f>
        <v>237.16269833297386</v>
      </c>
      <c r="AQ22" s="103">
        <f t="shared" si="34"/>
        <v>370.2369496896531</v>
      </c>
      <c r="AR22" s="3">
        <f t="shared" si="9"/>
        <v>375798.29914624104</v>
      </c>
      <c r="AS22" s="3">
        <f>AR22*AR154/1000*Table!AR$225</f>
        <v>239.6646751710577</v>
      </c>
      <c r="AT22" s="48">
        <f t="shared" si="35"/>
        <v>29899.73729558144</v>
      </c>
      <c r="AU22" s="3">
        <f>(AR21-AS21+AT21+AR22-AS22+AT22)*AR64</f>
        <v>478711.5634272859</v>
      </c>
      <c r="AV22" s="3">
        <f>AU22*AR154/1000*Table!AR$225</f>
        <v>305.2974204781663</v>
      </c>
      <c r="AW22" s="103">
        <f t="shared" si="37"/>
        <v>29899.73729558144</v>
      </c>
      <c r="AX22" s="3">
        <f t="shared" si="10"/>
        <v>508306.0033023891</v>
      </c>
      <c r="AY22" s="3">
        <f>AX22*AX154/1000*Table!AX$225</f>
        <v>323.53157306915386</v>
      </c>
      <c r="AZ22" s="48">
        <f t="shared" si="38"/>
        <v>33434.21387674775</v>
      </c>
      <c r="BA22" s="3">
        <f>(AX21-AY21+AZ21+AX22-AY22+AZ22)*AX64</f>
        <v>578991.3884058897</v>
      </c>
      <c r="BB22" s="3">
        <f>BA22*AX154/1000*Table!AX$225</f>
        <v>368.52209784548603</v>
      </c>
      <c r="BC22" s="103">
        <f t="shared" si="40"/>
        <v>33434.21387674775</v>
      </c>
      <c r="BD22" s="3">
        <f t="shared" si="11"/>
        <v>612057.080184792</v>
      </c>
      <c r="BE22" s="3">
        <f>BD22*BD154/1000*Table!BD$225</f>
        <v>387.7273892367125</v>
      </c>
      <c r="BF22" s="48">
        <f t="shared" si="41"/>
        <v>3907.7278231079617</v>
      </c>
      <c r="BG22" s="3">
        <f>(BD21-BE21+BF21+BD22-BE22+BF22)*BD64</f>
        <v>586884.6063483214</v>
      </c>
      <c r="BH22" s="3">
        <f>BG22*BD154/1000*Table!BD$225</f>
        <v>371.7810700497872</v>
      </c>
      <c r="BI22" s="103">
        <f t="shared" si="43"/>
        <v>3907.7278231079617</v>
      </c>
      <c r="BJ22" s="3">
        <f t="shared" si="12"/>
        <v>590420.5531013797</v>
      </c>
      <c r="BL22">
        <v>22</v>
      </c>
      <c r="BO22" s="37" t="s">
        <v>132</v>
      </c>
      <c r="BP22" s="3">
        <f ca="1">INDIRECT(Table!$D$8&amp;Calculate!BL22)/1000</f>
        <v>590.4205531013797</v>
      </c>
      <c r="BR22" s="37" t="s">
        <v>133</v>
      </c>
      <c r="BS22" s="3">
        <f ca="1">INDIRECT(Table!$D$8&amp;Calculate!BL43)/1000</f>
        <v>1817.5664202364333</v>
      </c>
      <c r="BT22" s="3">
        <v>0</v>
      </c>
    </row>
    <row r="23" spans="2:65" ht="12.75">
      <c r="B23" s="26"/>
      <c r="G23" s="104"/>
      <c r="J23" s="47"/>
      <c r="M23" s="104"/>
      <c r="P23" s="47"/>
      <c r="S23" s="104"/>
      <c r="V23" s="47"/>
      <c r="Y23" s="104"/>
      <c r="AB23" s="47"/>
      <c r="AE23" s="104"/>
      <c r="AH23" s="47"/>
      <c r="AK23" s="104"/>
      <c r="AN23" s="47"/>
      <c r="AQ23" s="104"/>
      <c r="AT23" s="47"/>
      <c r="AW23" s="104"/>
      <c r="AZ23" s="47"/>
      <c r="BC23" s="104"/>
      <c r="BF23" s="47"/>
      <c r="BI23" s="104"/>
      <c r="BM23" s="3"/>
    </row>
    <row r="24" spans="1:65" ht="12.75">
      <c r="A24" t="s">
        <v>67</v>
      </c>
      <c r="B24" s="3"/>
      <c r="G24" s="104"/>
      <c r="J24" s="47"/>
      <c r="M24" s="104"/>
      <c r="P24" s="47"/>
      <c r="S24" s="104"/>
      <c r="V24" s="47"/>
      <c r="Y24" s="104"/>
      <c r="AB24" s="47"/>
      <c r="AE24" s="104"/>
      <c r="AH24" s="47"/>
      <c r="AK24" s="104"/>
      <c r="AN24" s="47"/>
      <c r="AQ24" s="104"/>
      <c r="AT24" s="47"/>
      <c r="AW24" s="104"/>
      <c r="AZ24" s="47"/>
      <c r="BC24" s="104"/>
      <c r="BF24" s="47"/>
      <c r="BI24" s="104"/>
      <c r="BM24" s="3"/>
    </row>
    <row r="25" spans="1:65" ht="12.75">
      <c r="A25" s="9" t="s">
        <v>98</v>
      </c>
      <c r="B25" s="26">
        <v>77039454</v>
      </c>
      <c r="C25" s="3"/>
      <c r="G25" s="104"/>
      <c r="H25" s="26">
        <f>SUM(H26:H43)</f>
        <v>75643664.44307871</v>
      </c>
      <c r="I25" s="3"/>
      <c r="J25" s="47"/>
      <c r="M25" s="104"/>
      <c r="N25" s="26">
        <f>SUM(N26:N43)</f>
        <v>74226207.97315866</v>
      </c>
      <c r="O25" s="3"/>
      <c r="P25" s="47"/>
      <c r="S25" s="104"/>
      <c r="T25" s="26">
        <f>SUM(T26:T43)</f>
        <v>72499618.33826588</v>
      </c>
      <c r="U25" s="3"/>
      <c r="V25" s="47"/>
      <c r="Y25" s="104"/>
      <c r="Z25" s="26">
        <f>SUM(Z26:Z43)</f>
        <v>70469965.2939324</v>
      </c>
      <c r="AA25" s="3"/>
      <c r="AB25" s="47"/>
      <c r="AE25" s="104"/>
      <c r="AF25" s="26">
        <f>SUM(AF26:AF43)</f>
        <v>68024590.49881394</v>
      </c>
      <c r="AG25" s="3"/>
      <c r="AH25" s="47"/>
      <c r="AK25" s="104"/>
      <c r="AL25" s="26">
        <f>SUM(AL26:AL43)</f>
        <v>65549740.895829625</v>
      </c>
      <c r="AM25" s="3"/>
      <c r="AN25" s="47"/>
      <c r="AQ25" s="104"/>
      <c r="AR25" s="26">
        <f>SUM(AR26:AR43)</f>
        <v>62794199.91198212</v>
      </c>
      <c r="AS25" s="3"/>
      <c r="AT25" s="47"/>
      <c r="AW25" s="104"/>
      <c r="AX25" s="26">
        <f>SUM(AX26:AX43)</f>
        <v>62344327.75661595</v>
      </c>
      <c r="AY25" s="3"/>
      <c r="AZ25" s="47"/>
      <c r="BC25" s="104"/>
      <c r="BD25" s="26">
        <f>SUM(BD26:BD43)</f>
        <v>61774070.36246966</v>
      </c>
      <c r="BE25" s="3"/>
      <c r="BF25" s="47"/>
      <c r="BI25" s="104"/>
      <c r="BJ25" s="26">
        <f>SUM(BJ26:BJ43)</f>
        <v>58753227.96790639</v>
      </c>
      <c r="BM25" s="3"/>
    </row>
    <row r="26" spans="1:64" ht="12.75">
      <c r="A26" s="13" t="s">
        <v>21</v>
      </c>
      <c r="B26" s="26">
        <v>3066184</v>
      </c>
      <c r="C26" s="3">
        <f>B26*B158/1000*Table!B$225</f>
        <v>7896.376498474698</v>
      </c>
      <c r="D26" s="3">
        <f>B200/2*B$223*5</f>
        <v>13565.089474620556</v>
      </c>
      <c r="E26">
        <f>E124*(1-B221)*B66</f>
        <v>3365090.0855251634</v>
      </c>
      <c r="F26" s="3">
        <f>E26*B158/1000*Table!B$225</f>
        <v>8666.152542245052</v>
      </c>
      <c r="G26" s="103">
        <f>B200/2*B$223*5</f>
        <v>13565.089474620556</v>
      </c>
      <c r="H26" s="3">
        <f aca="true" t="shared" si="44" ref="H26:H43">E26-F26+G26</f>
        <v>3369989.022457539</v>
      </c>
      <c r="I26" s="3">
        <f>H26*H158/1000*Table!H$225</f>
        <v>5583.629927433107</v>
      </c>
      <c r="J26" s="48">
        <f>H200/2*H$223*5</f>
        <v>10360.219348746843</v>
      </c>
      <c r="K26">
        <f>K124*(1-H221)*H66</f>
        <v>3621415.6673698714</v>
      </c>
      <c r="L26" s="3">
        <f>K26*H158/1000*Table!H$225</f>
        <v>6000.210910258633</v>
      </c>
      <c r="M26" s="103">
        <f>H200/2*H$223*5</f>
        <v>10360.219348746843</v>
      </c>
      <c r="N26" s="3">
        <f aca="true" t="shared" si="45" ref="N26:N43">K26-L26+M26</f>
        <v>3625775.6758083594</v>
      </c>
      <c r="O26" s="3">
        <f>N26*N158/1000*Table!N$225</f>
        <v>4664.865669824655</v>
      </c>
      <c r="P26" s="48">
        <f>N200/2*N$223*5</f>
        <v>9756.639217889016</v>
      </c>
      <c r="Q26">
        <f>Q124*(1-N221)*N66</f>
        <v>3439073.801450903</v>
      </c>
      <c r="R26" s="3">
        <f>Q26*N158/1000*Table!N$225</f>
        <v>4424.65798957763</v>
      </c>
      <c r="S26" s="103">
        <f>N200/2*N$223*5</f>
        <v>9756.639217889016</v>
      </c>
      <c r="T26" s="3">
        <f aca="true" t="shared" si="46" ref="T26:T43">Q26-R26+S26</f>
        <v>3444405.782679214</v>
      </c>
      <c r="U26" s="3">
        <f>T26*T158/1000*Table!T$225</f>
        <v>4057.878841657932</v>
      </c>
      <c r="V26" s="48">
        <f>T200/2*T$223*5</f>
        <v>8965.14783257407</v>
      </c>
      <c r="W26">
        <f>W124*(1-T221)*T66</f>
        <v>2955916.624725615</v>
      </c>
      <c r="X26" s="3">
        <f>W26*T158/1000*Table!T$225</f>
        <v>3482.386305787974</v>
      </c>
      <c r="Y26" s="103">
        <f>T200/2*T$223*5</f>
        <v>8965.14783257407</v>
      </c>
      <c r="Z26" s="3">
        <f aca="true" t="shared" si="47" ref="Z26:Z43">W26-X26+Y26</f>
        <v>2961399.386252401</v>
      </c>
      <c r="AA26" s="3">
        <f>Z26*Z158/1000*Table!Z$225</f>
        <v>3510.2460170104164</v>
      </c>
      <c r="AB26" s="48">
        <f>Z200/2*Z$223*5</f>
        <v>7839.38898682141</v>
      </c>
      <c r="AC26">
        <f>AC124*(1-Z221)*Z66</f>
        <v>2536688.3026881428</v>
      </c>
      <c r="AD26" s="3">
        <f>AC26*Z158/1000*Table!Z$225</f>
        <v>3006.8217249738577</v>
      </c>
      <c r="AE26" s="103">
        <f>Z200/2*Z$223*5</f>
        <v>7839.38898682141</v>
      </c>
      <c r="AF26" s="3">
        <f aca="true" t="shared" si="48" ref="AF26:AF43">AC26-AD26+AE26</f>
        <v>2541520.86994999</v>
      </c>
      <c r="AG26" s="3">
        <f>AF26*AF158/1000*Table!AF$225</f>
        <v>3065.1238356780964</v>
      </c>
      <c r="AH26" s="48">
        <f>AF200/2*AF$223*5</f>
        <v>7004.967479710867</v>
      </c>
      <c r="AI26">
        <f>AI124*(1-AF221)*AF66</f>
        <v>2361867.340959503</v>
      </c>
      <c r="AJ26" s="3">
        <f>AI26*AF158/1000*Table!AF$225</f>
        <v>2848.4581689179954</v>
      </c>
      <c r="AK26" s="103">
        <f>AF200/2*AF$223*5</f>
        <v>7004.967479710867</v>
      </c>
      <c r="AL26" s="3">
        <f aca="true" t="shared" si="49" ref="AL26:AL43">AI26-AJ26+AK26</f>
        <v>2366023.850270296</v>
      </c>
      <c r="AM26" s="3">
        <f>AL26*AL158/1000*Table!AL$225</f>
        <v>2867.4439490631707</v>
      </c>
      <c r="AN26" s="48">
        <f>AL200/2*AL$223*5</f>
        <v>6692.063666643925</v>
      </c>
      <c r="AO26">
        <f>AO124*(1-AL221)*AL66</f>
        <v>2326987.1291180374</v>
      </c>
      <c r="AP26" s="3">
        <f>AO26*AL158/1000*Table!AL$225</f>
        <v>2820.1343626249263</v>
      </c>
      <c r="AQ26" s="103">
        <f>AL200/2*AL$223*5</f>
        <v>6692.063666643925</v>
      </c>
      <c r="AR26" s="3">
        <f aca="true" t="shared" si="50" ref="AR26:AR43">AO26-AP26+AQ26</f>
        <v>2330859.0584220565</v>
      </c>
      <c r="AS26" s="3">
        <f>AR26*AR158/1000*Table!AR$225</f>
        <v>2853.616852454282</v>
      </c>
      <c r="AT26" s="48">
        <f>AR200/2*AR$223*5</f>
        <v>75876.57343644583</v>
      </c>
      <c r="AU26">
        <f>AU124*(1-AR221)*AR66</f>
        <v>2325342.4303526464</v>
      </c>
      <c r="AV26" s="3">
        <f>AU26*AR158/1000*Table!AR$225</f>
        <v>2846.8629722611795</v>
      </c>
      <c r="AW26" s="103">
        <f>AR200/2*AR$223*5</f>
        <v>75876.57343644583</v>
      </c>
      <c r="AX26" s="3">
        <f aca="true" t="shared" si="51" ref="AX26:AX43">AU26-AV26+AW26</f>
        <v>2398372.140816831</v>
      </c>
      <c r="AY26" s="3">
        <f>AX26*AX158/1000*Table!AX$225</f>
        <v>2930.4777756607123</v>
      </c>
      <c r="AZ26" s="48">
        <f>AX200/2*AX$223*5</f>
        <v>76850.71619647149</v>
      </c>
      <c r="BA26">
        <f>BA124*(1-AX221)*AX66</f>
        <v>2287457.471120413</v>
      </c>
      <c r="BB26" s="3">
        <f>BA26*AX158/1000*Table!AX$225</f>
        <v>2794.9554482418303</v>
      </c>
      <c r="BC26" s="103">
        <f>AX200/2*AX$223*5</f>
        <v>76850.71619647149</v>
      </c>
      <c r="BD26" s="3">
        <f aca="true" t="shared" si="52" ref="BD26:BD43">BA26-BB26+BC26</f>
        <v>2361513.2318686424</v>
      </c>
      <c r="BE26" s="3">
        <f>BD26*BD158/1000*Table!BD$225</f>
        <v>2871.807787582224</v>
      </c>
      <c r="BF26" s="48">
        <f>BD200/2*BD$223*5</f>
        <v>7344.93970943589</v>
      </c>
      <c r="BG26">
        <f>BG124*(1-BD221)*BD66</f>
        <v>2135092.096010208</v>
      </c>
      <c r="BH26" s="3">
        <f>BG26*BD158/1000*Table!BD$225</f>
        <v>2596.4597723958186</v>
      </c>
      <c r="BI26" s="103">
        <f>BD200/2*BD$223*5</f>
        <v>7344.93970943589</v>
      </c>
      <c r="BJ26" s="3">
        <f aca="true" t="shared" si="53" ref="BJ26:BJ43">BG26-BH26+BI26</f>
        <v>2139840.575947248</v>
      </c>
      <c r="BL26">
        <v>26</v>
      </c>
    </row>
    <row r="27" spans="1:64" ht="12.75">
      <c r="A27" s="16" t="s">
        <v>33</v>
      </c>
      <c r="B27" s="26">
        <v>3723055</v>
      </c>
      <c r="C27" s="3">
        <f>B27*B159/1000*Table!B$225</f>
        <v>8680.945885276757</v>
      </c>
      <c r="D27" s="3">
        <f aca="true" t="shared" si="54" ref="D27:D43">B201/2*B$223*5</f>
        <v>18552.791182984518</v>
      </c>
      <c r="E27" s="3">
        <f aca="true" t="shared" si="55" ref="E27:E42">(B26-C26+D26)*B67</f>
        <v>3063410.3244909113</v>
      </c>
      <c r="F27" s="3">
        <f>E27*B159/1000*Table!B$225</f>
        <v>7142.870371590995</v>
      </c>
      <c r="G27" s="103">
        <f aca="true" t="shared" si="56" ref="G27:G43">B201/2*B$223*5</f>
        <v>18552.791182984518</v>
      </c>
      <c r="H27" s="3">
        <f t="shared" si="44"/>
        <v>3074820.245302305</v>
      </c>
      <c r="I27" s="3">
        <f>H27*H159/1000*Table!H$225</f>
        <v>4612.600426144391</v>
      </c>
      <c r="J27" s="48">
        <f aca="true" t="shared" si="57" ref="J27:J43">H201/2*H$223*5</f>
        <v>10647.448571433471</v>
      </c>
      <c r="K27" s="3">
        <f aca="true" t="shared" si="58" ref="K27:K42">(H26-I26+J26)*H67</f>
        <v>3366345.547501748</v>
      </c>
      <c r="L27" s="3">
        <f>K27*H159/1000*Table!H$225</f>
        <v>5049.923464852568</v>
      </c>
      <c r="M27" s="103">
        <f aca="true" t="shared" si="59" ref="M27:M43">H201/2*H$223*5</f>
        <v>10647.448571433471</v>
      </c>
      <c r="N27" s="3">
        <f t="shared" si="45"/>
        <v>3371943.072608329</v>
      </c>
      <c r="O27" s="3">
        <f>N27*N159/1000*Table!N$225</f>
        <v>3927.863689527064</v>
      </c>
      <c r="P27" s="48">
        <f aca="true" t="shared" si="60" ref="P27:P43">N201/2*N$223*5</f>
        <v>10220.329643309467</v>
      </c>
      <c r="Q27" s="3">
        <f aca="true" t="shared" si="61" ref="Q27:Q42">(N26-O26+P26)*N67</f>
        <v>3622701.6607876755</v>
      </c>
      <c r="R27" s="3">
        <f>Q27*N159/1000*Table!N$225</f>
        <v>4219.963980705714</v>
      </c>
      <c r="S27" s="103">
        <f aca="true" t="shared" si="62" ref="S27:S43">N201/2*N$223*5</f>
        <v>10220.329643309467</v>
      </c>
      <c r="T27" s="3">
        <f t="shared" si="46"/>
        <v>3628702.026450279</v>
      </c>
      <c r="U27" s="3">
        <f>T27*T159/1000*Table!T$225</f>
        <v>3870.56206858772</v>
      </c>
      <c r="V27" s="48">
        <f aca="true" t="shared" si="63" ref="V27:V43">T201/2*T$223*5</f>
        <v>10638.485543775198</v>
      </c>
      <c r="W27" s="3">
        <f aca="true" t="shared" si="64" ref="W27:W42">(T26-U26+V26)*T67</f>
        <v>3442602.419140608</v>
      </c>
      <c r="X27" s="3">
        <f>W27*T159/1000*Table!T$225</f>
        <v>3672.0585607820612</v>
      </c>
      <c r="Y27" s="103">
        <f aca="true" t="shared" si="65" ref="Y27:Y43">T201/2*T$223*5</f>
        <v>10638.485543775198</v>
      </c>
      <c r="Z27" s="3">
        <f t="shared" si="47"/>
        <v>3449568.8461236013</v>
      </c>
      <c r="AA27" s="3">
        <f>Z27*Z159/1000*Table!Z$225</f>
        <v>3702.059145258134</v>
      </c>
      <c r="AB27" s="48">
        <f aca="true" t="shared" si="66" ref="AB27:AB43">Z201/2*Z$223*5</f>
        <v>10285.736734133734</v>
      </c>
      <c r="AC27" s="3">
        <f aca="true" t="shared" si="67" ref="AC27:AC42">(Z26-AA26+AB26)*Z67</f>
        <v>2960798.434138553</v>
      </c>
      <c r="AD27" s="3">
        <f>AC27*Z159/1000*Table!Z$225</f>
        <v>3177.5133094345692</v>
      </c>
      <c r="AE27" s="103">
        <f aca="true" t="shared" si="68" ref="AE27:AE43">Z201/2*Z$223*5</f>
        <v>10285.736734133734</v>
      </c>
      <c r="AF27" s="3">
        <f t="shared" si="48"/>
        <v>2967906.6575632524</v>
      </c>
      <c r="AG27" s="3">
        <f>AF27*AF159/1000*Table!AF$225</f>
        <v>3240.7277338527265</v>
      </c>
      <c r="AH27" s="48">
        <f aca="true" t="shared" si="69" ref="AH27:AH43">AF201/2*AF$223*5</f>
        <v>9213.996352275688</v>
      </c>
      <c r="AI27" s="3">
        <f aca="true" t="shared" si="70" ref="AI27:AI42">(AF26-AG26+AH26)*AF67</f>
        <v>2541822.418256976</v>
      </c>
      <c r="AJ27" s="3">
        <f>AI27*AF159/1000*Table!AF$225</f>
        <v>2775.476238237601</v>
      </c>
      <c r="AK27" s="103">
        <f aca="true" t="shared" si="71" ref="AK27:AK43">AF201/2*AF$223*5</f>
        <v>9213.996352275688</v>
      </c>
      <c r="AL27" s="3">
        <f t="shared" si="49"/>
        <v>2548260.9383710143</v>
      </c>
      <c r="AM27" s="3">
        <f>AL27*AL159/1000*Table!AL$225</f>
        <v>2796.1320596734085</v>
      </c>
      <c r="AN27" s="48">
        <f aca="true" t="shared" si="72" ref="AN27:AN43">AL201/2*AL$223*5</f>
        <v>8118.395370543875</v>
      </c>
      <c r="AO27" s="3">
        <f aca="true" t="shared" si="73" ref="AO27:AO42">(AL26-AM26+AN26)*AL67</f>
        <v>2366901.870074781</v>
      </c>
      <c r="AP27" s="3">
        <f>AO27*AL159/1000*Table!AL$225</f>
        <v>2597.1320681341726</v>
      </c>
      <c r="AQ27" s="103">
        <f aca="true" t="shared" si="74" ref="AQ27:AQ43">AL201/2*AL$223*5</f>
        <v>8118.395370543875</v>
      </c>
      <c r="AR27" s="3">
        <f t="shared" si="50"/>
        <v>2372423.1333771907</v>
      </c>
      <c r="AS27" s="3">
        <f>AR27*AR159/1000*Table!AR$225</f>
        <v>2629.72152060142</v>
      </c>
      <c r="AT27" s="48">
        <f aca="true" t="shared" si="75" ref="AT27:AT43">AR201/2*AR$223*5</f>
        <v>90586.7451977159</v>
      </c>
      <c r="AU27" s="3">
        <f aca="true" t="shared" si="76" ref="AU27:AU42">(AR26-AS26+AT26)*AR67</f>
        <v>2401243.1591786244</v>
      </c>
      <c r="AV27" s="3">
        <f>AU27*AR159/1000*Table!AR$225</f>
        <v>2661.667188727844</v>
      </c>
      <c r="AW27" s="103">
        <f aca="true" t="shared" si="77" ref="AW27:AW43">AR201/2*AR$223*5</f>
        <v>90586.7451977159</v>
      </c>
      <c r="AX27" s="3">
        <f t="shared" si="51"/>
        <v>2489168.2371876123</v>
      </c>
      <c r="AY27" s="3">
        <f>AX27*AX159/1000*Table!AX$225</f>
        <v>2753.683831457932</v>
      </c>
      <c r="AZ27" s="48">
        <f aca="true" t="shared" si="78" ref="AZ27:AZ43">AX201/2*AX$223*5</f>
        <v>92253.11381406862</v>
      </c>
      <c r="BA27" s="3">
        <f aca="true" t="shared" si="79" ref="BA27:BA42">(AX26-AY26+AZ26)*AX67</f>
        <v>2469870.2925543888</v>
      </c>
      <c r="BB27" s="3">
        <f>BA27*AX159/1000*Table!AX$225</f>
        <v>2732.335158707343</v>
      </c>
      <c r="BC27" s="103">
        <f aca="true" t="shared" si="80" ref="BC27:BC43">AX201/2*AX$223*5</f>
        <v>92253.11381406862</v>
      </c>
      <c r="BD27" s="3">
        <f t="shared" si="52"/>
        <v>2559391.0712097497</v>
      </c>
      <c r="BE27" s="3">
        <f>BD27*BD159/1000*Table!BD$225</f>
        <v>2817.9909808107914</v>
      </c>
      <c r="BF27" s="48">
        <f aca="true" t="shared" si="81" ref="BF27:BF43">BD201/2*BD$223*5</f>
        <v>9207.250038414515</v>
      </c>
      <c r="BG27" s="3">
        <f aca="true" t="shared" si="82" ref="BG27:BG42">(BD26-BE26+BF26)*BD67</f>
        <v>2363901.088982475</v>
      </c>
      <c r="BH27" s="3">
        <f>BG27*BD159/1000*Table!BD$225</f>
        <v>2602.748764428856</v>
      </c>
      <c r="BI27" s="103">
        <f aca="true" t="shared" si="83" ref="BI27:BI43">BD201/2*BD$223*5</f>
        <v>9207.250038414515</v>
      </c>
      <c r="BJ27" s="3">
        <f t="shared" si="53"/>
        <v>2370505.590256461</v>
      </c>
      <c r="BL27">
        <v>27</v>
      </c>
    </row>
    <row r="28" spans="1:64" ht="12.75">
      <c r="A28" s="16" t="s">
        <v>37</v>
      </c>
      <c r="B28" s="26">
        <v>5640209</v>
      </c>
      <c r="C28" s="3">
        <f>B28*B160/1000*Table!B$225</f>
        <v>9854.484945536818</v>
      </c>
      <c r="D28" s="3">
        <f t="shared" si="54"/>
        <v>19718.136319541212</v>
      </c>
      <c r="E28" s="3">
        <f t="shared" si="55"/>
        <v>3727159.33985126</v>
      </c>
      <c r="F28" s="3">
        <f>E28*B160/1000*Table!B$225</f>
        <v>6512.034501590488</v>
      </c>
      <c r="G28" s="103">
        <f t="shared" si="56"/>
        <v>19718.136319541212</v>
      </c>
      <c r="H28" s="3">
        <f t="shared" si="44"/>
        <v>3740365.4416692113</v>
      </c>
      <c r="I28" s="3">
        <f>H28*H160/1000*Table!H$225</f>
        <v>4204.47016317131</v>
      </c>
      <c r="J28" s="48">
        <f t="shared" si="57"/>
        <v>9086.585511344985</v>
      </c>
      <c r="K28" s="3">
        <f t="shared" si="58"/>
        <v>3076294.770329471</v>
      </c>
      <c r="L28" s="3">
        <f>K28*H160/1000*Table!H$225</f>
        <v>3458.001571418129</v>
      </c>
      <c r="M28" s="103">
        <f t="shared" si="59"/>
        <v>9086.585511344985</v>
      </c>
      <c r="N28" s="3">
        <f t="shared" si="45"/>
        <v>3081923.354269398</v>
      </c>
      <c r="O28" s="3">
        <f>N28*N160/1000*Table!N$225</f>
        <v>2690.104456602959</v>
      </c>
      <c r="P28" s="48">
        <f t="shared" si="60"/>
        <v>6553.410408162981</v>
      </c>
      <c r="Q28" s="3">
        <f t="shared" si="61"/>
        <v>3373411.05422977</v>
      </c>
      <c r="R28" s="3">
        <f>Q28*N160/1000*Table!N$225</f>
        <v>2944.534002886802</v>
      </c>
      <c r="S28" s="103">
        <f t="shared" si="62"/>
        <v>6553.410408162981</v>
      </c>
      <c r="T28" s="3">
        <f t="shared" si="46"/>
        <v>3377019.930635046</v>
      </c>
      <c r="U28" s="3">
        <f>T28*T160/1000*Table!T$225</f>
        <v>2699.1529128164534</v>
      </c>
      <c r="V28" s="48">
        <f t="shared" si="63"/>
        <v>6945.811410100142</v>
      </c>
      <c r="W28" s="3">
        <f t="shared" si="64"/>
        <v>3630734.5882652504</v>
      </c>
      <c r="X28" s="3">
        <f>W28*T160/1000*Table!T$225</f>
        <v>2901.9395919693998</v>
      </c>
      <c r="Y28" s="103">
        <f t="shared" si="65"/>
        <v>6945.811410100142</v>
      </c>
      <c r="Z28" s="3">
        <f t="shared" si="47"/>
        <v>3634778.4600833813</v>
      </c>
      <c r="AA28" s="3">
        <f>Z28*Z160/1000*Table!Z$225</f>
        <v>2922.9919404208194</v>
      </c>
      <c r="AB28" s="48">
        <f t="shared" si="66"/>
        <v>7603.427269562785</v>
      </c>
      <c r="AC28" s="3">
        <f t="shared" si="67"/>
        <v>3452071.3950960133</v>
      </c>
      <c r="AD28" s="3">
        <f>AC28*Z160/1000*Table!Z$225</f>
        <v>2776.063789425953</v>
      </c>
      <c r="AE28" s="103">
        <f t="shared" si="68"/>
        <v>7603.427269562785</v>
      </c>
      <c r="AF28" s="3">
        <f t="shared" si="48"/>
        <v>3456898.75857615</v>
      </c>
      <c r="AG28" s="3">
        <f>AF28*AF160/1000*Table!AF$225</f>
        <v>2828.460412363784</v>
      </c>
      <c r="AH28" s="48">
        <f t="shared" si="69"/>
        <v>7529.1391158528695</v>
      </c>
      <c r="AI28" s="3">
        <f t="shared" si="70"/>
        <v>2970715.3701383276</v>
      </c>
      <c r="AJ28" s="3">
        <f>AI28*AF160/1000*Table!AF$225</f>
        <v>2430.6615286291412</v>
      </c>
      <c r="AK28" s="103">
        <f t="shared" si="71"/>
        <v>7529.1391158528695</v>
      </c>
      <c r="AL28" s="3">
        <f t="shared" si="49"/>
        <v>2975813.847725551</v>
      </c>
      <c r="AM28" s="3">
        <f>AL28*AL160/1000*Table!AL$225</f>
        <v>2446.7560933861887</v>
      </c>
      <c r="AN28" s="48">
        <f t="shared" si="72"/>
        <v>6651.091526262533</v>
      </c>
      <c r="AO28" s="3">
        <f t="shared" si="73"/>
        <v>2551146.1812858856</v>
      </c>
      <c r="AP28" s="3">
        <f>AO28*AL160/1000*Table!AL$225</f>
        <v>2097.5883518221426</v>
      </c>
      <c r="AQ28" s="103">
        <f t="shared" si="74"/>
        <v>6651.091526262533</v>
      </c>
      <c r="AR28" s="3">
        <f t="shared" si="50"/>
        <v>2555699.684460326</v>
      </c>
      <c r="AS28" s="3">
        <f>AR28*AR160/1000*Table!AR$225</f>
        <v>2122.748613438761</v>
      </c>
      <c r="AT28" s="48">
        <f t="shared" si="75"/>
        <v>82428.34576061608</v>
      </c>
      <c r="AU28" s="3">
        <f t="shared" si="76"/>
        <v>2458282.0043856865</v>
      </c>
      <c r="AV28" s="3">
        <f>AU28*AR160/1000*Table!AR$225</f>
        <v>2041.8340808901019</v>
      </c>
      <c r="AW28" s="103">
        <f t="shared" si="77"/>
        <v>82428.34576061608</v>
      </c>
      <c r="AX28" s="3">
        <f t="shared" si="51"/>
        <v>2538668.516065412</v>
      </c>
      <c r="AY28" s="3">
        <f>AX28*AX160/1000*Table!AX$225</f>
        <v>2104.441983019657</v>
      </c>
      <c r="AZ28" s="48">
        <f t="shared" si="78"/>
        <v>84685.47316974799</v>
      </c>
      <c r="BA28" s="3">
        <f t="shared" si="79"/>
        <v>2576709.4070383715</v>
      </c>
      <c r="BB28" s="3">
        <f>BA28*AX160/1000*Table!AX$225</f>
        <v>2135.9761701450575</v>
      </c>
      <c r="BC28" s="103">
        <f t="shared" si="80"/>
        <v>84685.47316974799</v>
      </c>
      <c r="BD28" s="3">
        <f t="shared" si="52"/>
        <v>2659258.904037975</v>
      </c>
      <c r="BE28" s="3">
        <f>BD28*BD160/1000*Table!BD$225</f>
        <v>2193.9903171780225</v>
      </c>
      <c r="BF28" s="48">
        <f t="shared" si="81"/>
        <v>8610.533228451772</v>
      </c>
      <c r="BG28" s="3">
        <f t="shared" si="82"/>
        <v>2564051.2020268287</v>
      </c>
      <c r="BH28" s="3">
        <f>BG28*BD160/1000*Table!BD$225</f>
        <v>2115.4403211561826</v>
      </c>
      <c r="BI28" s="103">
        <f t="shared" si="83"/>
        <v>8610.533228451772</v>
      </c>
      <c r="BJ28" s="3">
        <f t="shared" si="53"/>
        <v>2570546.294934124</v>
      </c>
      <c r="BL28">
        <v>28</v>
      </c>
    </row>
    <row r="29" spans="1:64" ht="12.75">
      <c r="A29" s="16" t="s">
        <v>38</v>
      </c>
      <c r="B29" s="26">
        <v>5883928</v>
      </c>
      <c r="C29" s="3">
        <f>B29*B161/1000*Table!B$225</f>
        <v>13110.138108118435</v>
      </c>
      <c r="D29" s="3">
        <f t="shared" si="54"/>
        <v>21080.439038693625</v>
      </c>
      <c r="E29" s="3">
        <f t="shared" si="55"/>
        <v>5635711.674621345</v>
      </c>
      <c r="F29" s="3">
        <f>E29*B161/1000*Table!B$225</f>
        <v>12557.080642696728</v>
      </c>
      <c r="G29" s="103">
        <f t="shared" si="56"/>
        <v>21080.439038693625</v>
      </c>
      <c r="H29" s="3">
        <f t="shared" si="44"/>
        <v>5644235.033017342</v>
      </c>
      <c r="I29" s="3">
        <f>H29*H161/1000*Table!H$225</f>
        <v>8091.024439675335</v>
      </c>
      <c r="J29" s="48">
        <f t="shared" si="57"/>
        <v>14051.846809978222</v>
      </c>
      <c r="K29" s="3">
        <f t="shared" si="58"/>
        <v>3736006.9428949617</v>
      </c>
      <c r="L29" s="3">
        <f>K29*H161/1000*Table!H$225</f>
        <v>5355.574901635566</v>
      </c>
      <c r="M29" s="103">
        <f t="shared" si="59"/>
        <v>14051.846809978222</v>
      </c>
      <c r="N29" s="3">
        <f t="shared" si="45"/>
        <v>3744703.214803304</v>
      </c>
      <c r="O29" s="3">
        <f>N29*N161/1000*Table!N$225</f>
        <v>4168.366505532004</v>
      </c>
      <c r="P29" s="48">
        <f t="shared" si="60"/>
        <v>8160.27078967705</v>
      </c>
      <c r="Q29" s="3">
        <f t="shared" si="61"/>
        <v>3078315.1105114133</v>
      </c>
      <c r="R29" s="3">
        <f>Q29*N161/1000*Table!N$225</f>
        <v>3426.5854632762457</v>
      </c>
      <c r="S29" s="103">
        <f t="shared" si="62"/>
        <v>8160.27078967705</v>
      </c>
      <c r="T29" s="3">
        <f t="shared" si="46"/>
        <v>3083048.7958378145</v>
      </c>
      <c r="U29" s="3">
        <f>T29*T161/1000*Table!T$225</f>
        <v>3142.5011658417975</v>
      </c>
      <c r="V29" s="48">
        <f t="shared" si="63"/>
        <v>6498.474159145916</v>
      </c>
      <c r="W29" s="3">
        <f t="shared" si="64"/>
        <v>3373709.26780765</v>
      </c>
      <c r="X29" s="3">
        <f>W29*T161/1000*Table!T$225</f>
        <v>3438.766626596894</v>
      </c>
      <c r="Y29" s="103">
        <f t="shared" si="65"/>
        <v>6498.474159145916</v>
      </c>
      <c r="Z29" s="3">
        <f t="shared" si="47"/>
        <v>3376768.9753401987</v>
      </c>
      <c r="AA29" s="3">
        <f>Z29*Z161/1000*Table!Z$225</f>
        <v>3462.9977152589395</v>
      </c>
      <c r="AB29" s="48">
        <f t="shared" si="66"/>
        <v>7238.9309439740955</v>
      </c>
      <c r="AC29" s="3">
        <f t="shared" si="67"/>
        <v>3631983.7397697535</v>
      </c>
      <c r="AD29" s="3">
        <f>AC29*Z161/1000*Table!Z$225</f>
        <v>3724.7296112145564</v>
      </c>
      <c r="AE29" s="103">
        <f t="shared" si="68"/>
        <v>7238.9309439740955</v>
      </c>
      <c r="AF29" s="3">
        <f t="shared" si="48"/>
        <v>3635497.941102513</v>
      </c>
      <c r="AG29" s="3">
        <f>AF29*AF161/1000*Table!AF$225</f>
        <v>3793.3990482971603</v>
      </c>
      <c r="AH29" s="48">
        <f t="shared" si="69"/>
        <v>8114.545474166827</v>
      </c>
      <c r="AI29" s="3">
        <f t="shared" si="70"/>
        <v>3455125.6968677226</v>
      </c>
      <c r="AJ29" s="3">
        <f>AI29*AF161/1000*Table!AF$225</f>
        <v>3605.192670325185</v>
      </c>
      <c r="AK29" s="103">
        <f t="shared" si="71"/>
        <v>8114.545474166827</v>
      </c>
      <c r="AL29" s="3">
        <f t="shared" si="49"/>
        <v>3459635.0496715643</v>
      </c>
      <c r="AM29" s="3">
        <f>AL29*AL161/1000*Table!AL$225</f>
        <v>3627.5749173858326</v>
      </c>
      <c r="AN29" s="48">
        <f t="shared" si="72"/>
        <v>7924.266749619788</v>
      </c>
      <c r="AO29" s="3">
        <f t="shared" si="73"/>
        <v>2974990.3716002544</v>
      </c>
      <c r="AP29" s="3">
        <f>AO29*AL161/1000*Table!AL$225</f>
        <v>3119.4043003194706</v>
      </c>
      <c r="AQ29" s="103">
        <f t="shared" si="74"/>
        <v>7924.266749619788</v>
      </c>
      <c r="AR29" s="3">
        <f t="shared" si="50"/>
        <v>2979795.234049555</v>
      </c>
      <c r="AS29" s="3">
        <f>AR29*AR161/1000*Table!AR$225</f>
        <v>3156.2860190881033</v>
      </c>
      <c r="AT29" s="48">
        <f t="shared" si="75"/>
        <v>89375.05798726574</v>
      </c>
      <c r="AU29" s="3">
        <f t="shared" si="76"/>
        <v>2632028.0793111655</v>
      </c>
      <c r="AV29" s="3">
        <f>AU29*AR161/1000*Table!AR$225</f>
        <v>2787.920905990344</v>
      </c>
      <c r="AW29" s="103">
        <f t="shared" si="77"/>
        <v>89375.05798726574</v>
      </c>
      <c r="AX29" s="3">
        <f t="shared" si="51"/>
        <v>2718615.2163924407</v>
      </c>
      <c r="AY29" s="3">
        <f>AX29*AX161/1000*Table!AX$225</f>
        <v>2873.9544952949477</v>
      </c>
      <c r="AZ29" s="48">
        <f t="shared" si="78"/>
        <v>90454.30607265313</v>
      </c>
      <c r="BA29" s="3">
        <f t="shared" si="79"/>
        <v>2617738.967744578</v>
      </c>
      <c r="BB29" s="3">
        <f>BA29*AX161/1000*Table!AX$225</f>
        <v>2767.314266651364</v>
      </c>
      <c r="BC29" s="103">
        <f t="shared" si="80"/>
        <v>90454.30607265313</v>
      </c>
      <c r="BD29" s="3">
        <f t="shared" si="52"/>
        <v>2705425.95955058</v>
      </c>
      <c r="BE29" s="3">
        <f>BD29*BD161/1000*Table!BD$225</f>
        <v>2846.4982508458966</v>
      </c>
      <c r="BF29" s="48">
        <f t="shared" si="81"/>
        <v>8737.42899346199</v>
      </c>
      <c r="BG29" s="3">
        <f t="shared" si="82"/>
        <v>2662527.9029162</v>
      </c>
      <c r="BH29" s="3">
        <f>BG29*BD161/1000*Table!BD$225</f>
        <v>2801.363309065883</v>
      </c>
      <c r="BI29" s="103">
        <f t="shared" si="83"/>
        <v>8737.42899346199</v>
      </c>
      <c r="BJ29" s="3">
        <f t="shared" si="53"/>
        <v>2668463.9686005963</v>
      </c>
      <c r="BL29">
        <v>29</v>
      </c>
    </row>
    <row r="30" spans="1:64" ht="12.75">
      <c r="A30" s="16" t="s">
        <v>39</v>
      </c>
      <c r="B30" s="26">
        <v>5377486</v>
      </c>
      <c r="C30" s="3">
        <f>B30*B162/1000*Table!B$225</f>
        <v>17476.849372961962</v>
      </c>
      <c r="D30" s="3">
        <f t="shared" si="54"/>
        <v>27796.92251678308</v>
      </c>
      <c r="E30" s="3">
        <f t="shared" si="55"/>
        <v>5866940.378357676</v>
      </c>
      <c r="F30" s="3">
        <f>E30*B162/1000*Table!B$225</f>
        <v>19067.577911445154</v>
      </c>
      <c r="G30" s="103">
        <f t="shared" si="56"/>
        <v>27796.92251678308</v>
      </c>
      <c r="H30" s="3">
        <f t="shared" si="44"/>
        <v>5875669.722963014</v>
      </c>
      <c r="I30" s="3">
        <f>H30*H162/1000*Table!H$225</f>
        <v>12285.6951973652</v>
      </c>
      <c r="J30" s="48">
        <f t="shared" si="57"/>
        <v>21105.265432234264</v>
      </c>
      <c r="K30" s="3">
        <f t="shared" si="58"/>
        <v>5626974.087776118</v>
      </c>
      <c r="L30" s="3">
        <f>K30*H162/1000*Table!H$225</f>
        <v>11765.686600067707</v>
      </c>
      <c r="M30" s="103">
        <f t="shared" si="59"/>
        <v>21105.265432234264</v>
      </c>
      <c r="N30" s="3">
        <f t="shared" si="45"/>
        <v>5636313.666608284</v>
      </c>
      <c r="O30" s="3">
        <f>N30*N162/1000*Table!N$225</f>
        <v>9151.400998773885</v>
      </c>
      <c r="P30" s="48">
        <f t="shared" si="60"/>
        <v>17720.96824384432</v>
      </c>
      <c r="Q30" s="3">
        <f t="shared" si="61"/>
        <v>3733580.335012388</v>
      </c>
      <c r="R30" s="3">
        <f>Q30*N162/1000*Table!N$225</f>
        <v>6062.027918931555</v>
      </c>
      <c r="S30" s="103">
        <f t="shared" si="62"/>
        <v>17720.96824384432</v>
      </c>
      <c r="T30" s="3">
        <f t="shared" si="46"/>
        <v>3745239.2753373007</v>
      </c>
      <c r="U30" s="3">
        <f>T30*T162/1000*Table!T$225</f>
        <v>5568.2478227237625</v>
      </c>
      <c r="V30" s="48">
        <f t="shared" si="63"/>
        <v>11389.789380747381</v>
      </c>
      <c r="W30" s="3">
        <f t="shared" si="64"/>
        <v>3074932.634485936</v>
      </c>
      <c r="X30" s="3">
        <f>W30*T162/1000*Table!T$225</f>
        <v>4571.667038671788</v>
      </c>
      <c r="Y30" s="103">
        <f t="shared" si="65"/>
        <v>11389.789380747381</v>
      </c>
      <c r="Z30" s="3">
        <f t="shared" si="47"/>
        <v>3081750.7568280115</v>
      </c>
      <c r="AA30" s="3">
        <f>Z30*Z162/1000*Table!Z$225</f>
        <v>4609.908497418676</v>
      </c>
      <c r="AB30" s="48">
        <f t="shared" si="66"/>
        <v>9531.817579823495</v>
      </c>
      <c r="AC30" s="3">
        <f t="shared" si="67"/>
        <v>3369014.035466434</v>
      </c>
      <c r="AD30" s="3">
        <f>AC30*Z162/1000*Table!Z$225</f>
        <v>5039.617949507738</v>
      </c>
      <c r="AE30" s="103">
        <f t="shared" si="68"/>
        <v>9531.817579823495</v>
      </c>
      <c r="AF30" s="3">
        <f t="shared" si="48"/>
        <v>3373506.23509675</v>
      </c>
      <c r="AG30" s="3">
        <f>AF30*AF162/1000*Table!AF$225</f>
        <v>5134.40452919697</v>
      </c>
      <c r="AH30" s="48">
        <f t="shared" si="69"/>
        <v>10863.929503281448</v>
      </c>
      <c r="AI30" s="3">
        <f t="shared" si="70"/>
        <v>3628532.362046915</v>
      </c>
      <c r="AJ30" s="3">
        <f>AI30*AF162/1000*Table!AF$225</f>
        <v>5522.548854425684</v>
      </c>
      <c r="AK30" s="103">
        <f t="shared" si="71"/>
        <v>10863.929503281448</v>
      </c>
      <c r="AL30" s="3">
        <f t="shared" si="49"/>
        <v>3633873.742695771</v>
      </c>
      <c r="AM30" s="3">
        <f>AL30*AL162/1000*Table!AL$225</f>
        <v>5557.761086791039</v>
      </c>
      <c r="AN30" s="48">
        <f t="shared" si="72"/>
        <v>12008.914652122294</v>
      </c>
      <c r="AO30" s="3">
        <f t="shared" si="73"/>
        <v>3454258.237813097</v>
      </c>
      <c r="AP30" s="3">
        <f>AO30*AL162/1000*Table!AL$225</f>
        <v>5283.0514699179175</v>
      </c>
      <c r="AQ30" s="103">
        <f t="shared" si="74"/>
        <v>12008.914652122294</v>
      </c>
      <c r="AR30" s="3">
        <f t="shared" si="50"/>
        <v>3460984.1009953013</v>
      </c>
      <c r="AS30" s="3">
        <f>AR30*AR162/1000*Table!AR$225</f>
        <v>5347.286731912158</v>
      </c>
      <c r="AT30" s="48">
        <f t="shared" si="75"/>
        <v>120832.30976811559</v>
      </c>
      <c r="AU30" s="3">
        <f t="shared" si="76"/>
        <v>3058371.5301268166</v>
      </c>
      <c r="AV30" s="3">
        <f>AU30*AR162/1000*Table!AR$225</f>
        <v>4725.242597792337</v>
      </c>
      <c r="AW30" s="103">
        <f t="shared" si="77"/>
        <v>120832.30976811559</v>
      </c>
      <c r="AX30" s="3">
        <f t="shared" si="51"/>
        <v>3174478.59729714</v>
      </c>
      <c r="AY30" s="3">
        <f>AX30*AX162/1000*Table!AX$225</f>
        <v>4894.95253860031</v>
      </c>
      <c r="AZ30" s="48">
        <f t="shared" si="78"/>
        <v>120077.64762418583</v>
      </c>
      <c r="BA30" s="3">
        <f t="shared" si="79"/>
        <v>2799999.310378412</v>
      </c>
      <c r="BB30" s="3">
        <f>BA30*AX162/1000*Table!AX$225</f>
        <v>4317.51650305205</v>
      </c>
      <c r="BC30" s="103">
        <f t="shared" si="80"/>
        <v>120077.64762418583</v>
      </c>
      <c r="BD30" s="3">
        <f t="shared" si="52"/>
        <v>2915759.4414995457</v>
      </c>
      <c r="BE30" s="3">
        <f>BD30*BD162/1000*Table!BD$225</f>
        <v>4474.771843662198</v>
      </c>
      <c r="BF30" s="48">
        <f t="shared" si="81"/>
        <v>10705.524805089144</v>
      </c>
      <c r="BG30" s="3">
        <f t="shared" si="82"/>
        <v>2706050.159199364</v>
      </c>
      <c r="BH30" s="3">
        <f>BG30*BD162/1000*Table!BD$225</f>
        <v>4152.934185028449</v>
      </c>
      <c r="BI30" s="103">
        <f t="shared" si="83"/>
        <v>10705.524805089144</v>
      </c>
      <c r="BJ30" s="3">
        <f t="shared" si="53"/>
        <v>2712602.7498194245</v>
      </c>
      <c r="BL30">
        <v>30</v>
      </c>
    </row>
    <row r="31" spans="1:64" ht="12.75">
      <c r="A31" s="16" t="s">
        <v>40</v>
      </c>
      <c r="B31" s="26">
        <v>5073558</v>
      </c>
      <c r="C31" s="3">
        <f>B31*B163/1000*Table!B$225</f>
        <v>16290.63458927741</v>
      </c>
      <c r="D31" s="3">
        <f t="shared" si="54"/>
        <v>26188.46113798183</v>
      </c>
      <c r="E31" s="3">
        <f t="shared" si="55"/>
        <v>5359411.45507656</v>
      </c>
      <c r="F31" s="3">
        <f>E31*B163/1000*Table!B$225</f>
        <v>17208.478473733776</v>
      </c>
      <c r="G31" s="103">
        <f t="shared" si="56"/>
        <v>26188.46113798183</v>
      </c>
      <c r="H31" s="3">
        <f t="shared" si="44"/>
        <v>5368391.437740808</v>
      </c>
      <c r="I31" s="3">
        <f>H31*H163/1000*Table!H$225</f>
        <v>11089.910818455724</v>
      </c>
      <c r="J31" s="48">
        <f t="shared" si="57"/>
        <v>19255.621462126805</v>
      </c>
      <c r="K31" s="3">
        <f t="shared" si="58"/>
        <v>5854375.264420594</v>
      </c>
      <c r="L31" s="3">
        <f>K31*H163/1000*Table!H$225</f>
        <v>12093.846049259004</v>
      </c>
      <c r="M31" s="103">
        <f t="shared" si="59"/>
        <v>19255.621462126805</v>
      </c>
      <c r="N31" s="3">
        <f t="shared" si="45"/>
        <v>5861537.039833462</v>
      </c>
      <c r="O31" s="3">
        <f>N31*N163/1000*Table!N$225</f>
        <v>9402.5459261267</v>
      </c>
      <c r="P31" s="48">
        <f t="shared" si="60"/>
        <v>18402.792485160327</v>
      </c>
      <c r="Q31" s="3">
        <f t="shared" si="61"/>
        <v>5616528.113164583</v>
      </c>
      <c r="R31" s="3">
        <f>Q31*N163/1000*Table!N$225</f>
        <v>9009.524834617809</v>
      </c>
      <c r="S31" s="103">
        <f t="shared" si="62"/>
        <v>18402.792485160327</v>
      </c>
      <c r="T31" s="3">
        <f t="shared" si="46"/>
        <v>5625921.380815126</v>
      </c>
      <c r="U31" s="3">
        <f>T31*T163/1000*Table!T$225</f>
        <v>8263.692791491041</v>
      </c>
      <c r="V31" s="48">
        <f t="shared" si="63"/>
        <v>17084.792358699033</v>
      </c>
      <c r="W31" s="3">
        <f t="shared" si="64"/>
        <v>3733652.2485259078</v>
      </c>
      <c r="X31" s="3">
        <f>W31*T163/1000*Table!T$225</f>
        <v>5484.213710716223</v>
      </c>
      <c r="Y31" s="103">
        <f t="shared" si="65"/>
        <v>17084.792358699033</v>
      </c>
      <c r="Z31" s="3">
        <f t="shared" si="47"/>
        <v>3745252.827173891</v>
      </c>
      <c r="AA31" s="3">
        <f>Z31*Z163/1000*Table!Z$225</f>
        <v>5534.997795583685</v>
      </c>
      <c r="AB31" s="48">
        <f t="shared" si="66"/>
        <v>11567.493746389613</v>
      </c>
      <c r="AC31" s="3">
        <f t="shared" si="67"/>
        <v>3073496.127037542</v>
      </c>
      <c r="AD31" s="3">
        <f>AC31*Z163/1000*Table!Z$225</f>
        <v>4542.228541811052</v>
      </c>
      <c r="AE31" s="103">
        <f t="shared" si="68"/>
        <v>11567.493746389613</v>
      </c>
      <c r="AF31" s="3">
        <f t="shared" si="48"/>
        <v>3080521.3922421206</v>
      </c>
      <c r="AG31" s="3">
        <f>AF31*AF163/1000*Table!AF$225</f>
        <v>4632.061454489307</v>
      </c>
      <c r="AH31" s="48">
        <f t="shared" si="69"/>
        <v>9906.256585141798</v>
      </c>
      <c r="AI31" s="3">
        <f t="shared" si="70"/>
        <v>3366087.400263894</v>
      </c>
      <c r="AJ31" s="3">
        <f>AI31*AF163/1000*Table!AF$225</f>
        <v>5061.456069894749</v>
      </c>
      <c r="AK31" s="103">
        <f t="shared" si="71"/>
        <v>9906.256585141798</v>
      </c>
      <c r="AL31" s="3">
        <f t="shared" si="49"/>
        <v>3370932.200779141</v>
      </c>
      <c r="AM31" s="3">
        <f>AL31*AL163/1000*Table!AL$225</f>
        <v>5093.561748650742</v>
      </c>
      <c r="AN31" s="48">
        <f t="shared" si="72"/>
        <v>11124.073867502735</v>
      </c>
      <c r="AO31" s="3">
        <f t="shared" si="73"/>
        <v>3627532.2034690594</v>
      </c>
      <c r="AP31" s="3">
        <f>AO31*AL163/1000*Table!AL$225</f>
        <v>5481.290685501786</v>
      </c>
      <c r="AQ31" s="103">
        <f t="shared" si="74"/>
        <v>11124.073867502735</v>
      </c>
      <c r="AR31" s="3">
        <f t="shared" si="50"/>
        <v>3633174.98665106</v>
      </c>
      <c r="AS31" s="3">
        <f>AR31*AR163/1000*Table!AR$225</f>
        <v>5545.768053272806</v>
      </c>
      <c r="AT31" s="48">
        <f t="shared" si="75"/>
        <v>128731.07337624226</v>
      </c>
      <c r="AU31" s="3">
        <f t="shared" si="76"/>
        <v>3565216.0315102953</v>
      </c>
      <c r="AV31" s="3">
        <f>AU31*AR163/1000*Table!AR$225</f>
        <v>5442.0338252936435</v>
      </c>
      <c r="AW31" s="103">
        <f t="shared" si="77"/>
        <v>128731.07337624226</v>
      </c>
      <c r="AX31" s="3">
        <f t="shared" si="51"/>
        <v>3688505.071061244</v>
      </c>
      <c r="AY31" s="3">
        <f>AX31*AX163/1000*Table!AX$225</f>
        <v>5619.115831786063</v>
      </c>
      <c r="AZ31" s="48">
        <f t="shared" si="78"/>
        <v>129381.06569703159</v>
      </c>
      <c r="BA31" s="3">
        <f t="shared" si="79"/>
        <v>3280461.8286043094</v>
      </c>
      <c r="BB31" s="3">
        <f>BA31*AX163/1000*Table!AX$225</f>
        <v>4997.497533974318</v>
      </c>
      <c r="BC31" s="103">
        <f t="shared" si="80"/>
        <v>129381.06569703159</v>
      </c>
      <c r="BD31" s="3">
        <f t="shared" si="52"/>
        <v>3404845.3967673667</v>
      </c>
      <c r="BE31" s="3">
        <f>BD31*BD163/1000*Table!BD$225</f>
        <v>5162.476893451904</v>
      </c>
      <c r="BF31" s="48">
        <f t="shared" si="81"/>
        <v>11592.690452501001</v>
      </c>
      <c r="BG31" s="3">
        <f t="shared" si="82"/>
        <v>2914776.3529779515</v>
      </c>
      <c r="BH31" s="3">
        <f>BG31*BD163/1000*Table!BD$225</f>
        <v>4419.426969023344</v>
      </c>
      <c r="BI31" s="103">
        <f t="shared" si="83"/>
        <v>11592.690452501001</v>
      </c>
      <c r="BJ31" s="3">
        <f t="shared" si="53"/>
        <v>2921949.6164614293</v>
      </c>
      <c r="BL31">
        <v>31</v>
      </c>
    </row>
    <row r="32" spans="1:64" ht="12.75">
      <c r="A32" s="16" t="s">
        <v>41</v>
      </c>
      <c r="B32" s="26">
        <v>4653213</v>
      </c>
      <c r="C32" s="3">
        <f>B32*B164/1000*Table!B$225</f>
        <v>12149.838662935197</v>
      </c>
      <c r="D32" s="3">
        <f t="shared" si="54"/>
        <v>22581.608349154783</v>
      </c>
      <c r="E32" s="3">
        <f t="shared" si="55"/>
        <v>5050389.365820535</v>
      </c>
      <c r="F32" s="3">
        <f>E32*B164/1000*Table!B$225</f>
        <v>13186.891719704881</v>
      </c>
      <c r="G32" s="103">
        <f t="shared" si="56"/>
        <v>22581.608349154783</v>
      </c>
      <c r="H32" s="3">
        <f t="shared" si="44"/>
        <v>5059784.082449986</v>
      </c>
      <c r="I32" s="3">
        <f>H32*H164/1000*Table!H$225</f>
        <v>8499.787509059799</v>
      </c>
      <c r="J32" s="48">
        <f t="shared" si="57"/>
        <v>17062.78573651959</v>
      </c>
      <c r="K32" s="3">
        <f t="shared" si="58"/>
        <v>5342538.364029326</v>
      </c>
      <c r="L32" s="3">
        <f>K32*H164/1000*Table!H$225</f>
        <v>8974.77839237384</v>
      </c>
      <c r="M32" s="103">
        <f t="shared" si="59"/>
        <v>17062.78573651959</v>
      </c>
      <c r="N32" s="3">
        <f t="shared" si="45"/>
        <v>5350626.371373472</v>
      </c>
      <c r="O32" s="3">
        <f>N32*N164/1000*Table!N$225</f>
        <v>6979.603968640438</v>
      </c>
      <c r="P32" s="48">
        <f t="shared" si="60"/>
        <v>15793.61070607837</v>
      </c>
      <c r="Q32" s="3">
        <f t="shared" si="61"/>
        <v>5834038.07031498</v>
      </c>
      <c r="R32" s="3">
        <f>Q32*N164/1000*Table!N$225</f>
        <v>7610.188498046346</v>
      </c>
      <c r="S32" s="103">
        <f t="shared" si="62"/>
        <v>15793.61070607837</v>
      </c>
      <c r="T32" s="3">
        <f t="shared" si="46"/>
        <v>5842221.492523013</v>
      </c>
      <c r="U32" s="3">
        <f>T32*T164/1000*Table!T$225</f>
        <v>6978.3175523455675</v>
      </c>
      <c r="V32" s="48">
        <f t="shared" si="63"/>
        <v>16680.10008555316</v>
      </c>
      <c r="W32" s="3">
        <f t="shared" si="64"/>
        <v>5602224.101648058</v>
      </c>
      <c r="X32" s="3">
        <f>W32*T164/1000*Table!T$225</f>
        <v>6691.649543026981</v>
      </c>
      <c r="Y32" s="103">
        <f t="shared" si="65"/>
        <v>16680.10008555316</v>
      </c>
      <c r="Z32" s="3">
        <f t="shared" si="47"/>
        <v>5612212.552190583</v>
      </c>
      <c r="AA32" s="3">
        <f>Z32*Z164/1000*Table!Z$225</f>
        <v>6744.699855960547</v>
      </c>
      <c r="AB32" s="48">
        <f t="shared" si="66"/>
        <v>16296.593460731186</v>
      </c>
      <c r="AC32" s="3">
        <f t="shared" si="67"/>
        <v>3731274.5381517005</v>
      </c>
      <c r="AD32" s="3">
        <f>AC32*Z164/1000*Table!Z$225</f>
        <v>4484.207717720527</v>
      </c>
      <c r="AE32" s="103">
        <f t="shared" si="68"/>
        <v>16296.593460731186</v>
      </c>
      <c r="AF32" s="3">
        <f t="shared" si="48"/>
        <v>3743086.9238947113</v>
      </c>
      <c r="AG32" s="3">
        <f>AF32*AF164/1000*Table!AF$225</f>
        <v>4576.908199785153</v>
      </c>
      <c r="AH32" s="48">
        <f t="shared" si="69"/>
        <v>11316.701071256259</v>
      </c>
      <c r="AI32" s="3">
        <f t="shared" si="70"/>
        <v>3070710.4251707047</v>
      </c>
      <c r="AJ32" s="3">
        <f>AI32*AF164/1000*Table!AF$225</f>
        <v>3754.751094453847</v>
      </c>
      <c r="AK32" s="103">
        <f t="shared" si="71"/>
        <v>11316.701071256259</v>
      </c>
      <c r="AL32" s="3">
        <f t="shared" si="49"/>
        <v>3078272.375147507</v>
      </c>
      <c r="AM32" s="3">
        <f>AL32*AL164/1000*Table!AL$225</f>
        <v>3782.4292052232395</v>
      </c>
      <c r="AN32" s="48">
        <f t="shared" si="72"/>
        <v>9550.486154670354</v>
      </c>
      <c r="AO32" s="3">
        <f t="shared" si="73"/>
        <v>3361963.6711774124</v>
      </c>
      <c r="AP32" s="3">
        <f>AO32*AL164/1000*Table!AL$225</f>
        <v>4131.015071774352</v>
      </c>
      <c r="AQ32" s="103">
        <f t="shared" si="74"/>
        <v>9550.486154670354</v>
      </c>
      <c r="AR32" s="3">
        <f t="shared" si="50"/>
        <v>3367383.1422603084</v>
      </c>
      <c r="AS32" s="3">
        <f>AR32*AR164/1000*Table!AR$225</f>
        <v>4179.844497488566</v>
      </c>
      <c r="AT32" s="48">
        <f t="shared" si="75"/>
        <v>108053.12380714744</v>
      </c>
      <c r="AU32" s="3">
        <f t="shared" si="76"/>
        <v>3741325.3226879304</v>
      </c>
      <c r="AV32" s="3">
        <f>AU32*AR164/1000*Table!AR$225</f>
        <v>4644.0091319263665</v>
      </c>
      <c r="AW32" s="103">
        <f t="shared" si="77"/>
        <v>108053.12380714744</v>
      </c>
      <c r="AX32" s="3">
        <f t="shared" si="51"/>
        <v>3844734.4373631515</v>
      </c>
      <c r="AY32" s="3">
        <f>AX32*AX164/1000*Table!AX$225</f>
        <v>4762.951431960221</v>
      </c>
      <c r="AZ32" s="48">
        <f t="shared" si="78"/>
        <v>109561.53329132378</v>
      </c>
      <c r="BA32" s="3">
        <f t="shared" si="79"/>
        <v>3798611.8268909436</v>
      </c>
      <c r="BB32" s="3">
        <f>BA32*AX164/1000*Table!AX$225</f>
        <v>4705.813609524555</v>
      </c>
      <c r="BC32" s="103">
        <f t="shared" si="80"/>
        <v>109561.53329132378</v>
      </c>
      <c r="BD32" s="3">
        <f t="shared" si="52"/>
        <v>3903467.5465727425</v>
      </c>
      <c r="BE32" s="3">
        <f>BD32*BD164/1000*Table!BD$225</f>
        <v>4812.863034202166</v>
      </c>
      <c r="BF32" s="48">
        <f t="shared" si="81"/>
        <v>10797.142429490108</v>
      </c>
      <c r="BG32" s="3">
        <f t="shared" si="82"/>
        <v>3400409.875440827</v>
      </c>
      <c r="BH32" s="3">
        <f>BG32*BD164/1000*Table!BD$225</f>
        <v>4192.607417734084</v>
      </c>
      <c r="BI32" s="103">
        <f t="shared" si="83"/>
        <v>10797.142429490108</v>
      </c>
      <c r="BJ32" s="3">
        <f t="shared" si="53"/>
        <v>3407014.4104525833</v>
      </c>
      <c r="BL32">
        <v>32</v>
      </c>
    </row>
    <row r="33" spans="1:64" ht="12.75">
      <c r="A33" s="16" t="s">
        <v>42</v>
      </c>
      <c r="B33" s="26">
        <v>5642534</v>
      </c>
      <c r="C33" s="3">
        <f>B33*B165/1000*Table!B$225</f>
        <v>11742.88835065888</v>
      </c>
      <c r="D33" s="3">
        <f t="shared" si="54"/>
        <v>23966.90222580866</v>
      </c>
      <c r="E33" s="3">
        <f t="shared" si="55"/>
        <v>4623367.102184581</v>
      </c>
      <c r="F33" s="3">
        <f>E33*B165/1000*Table!B$225</f>
        <v>9621.862036642193</v>
      </c>
      <c r="G33" s="103">
        <f t="shared" si="56"/>
        <v>23966.90222580866</v>
      </c>
      <c r="H33" s="3">
        <f t="shared" si="44"/>
        <v>4637712.142373746</v>
      </c>
      <c r="I33" s="3">
        <f>H33*H165/1000*Table!H$225</f>
        <v>6209.591657857277</v>
      </c>
      <c r="J33" s="48">
        <f t="shared" si="57"/>
        <v>13688.55241055167</v>
      </c>
      <c r="K33" s="3">
        <f t="shared" si="58"/>
        <v>5025664.253729152</v>
      </c>
      <c r="L33" s="3">
        <f>K33*H165/1000*Table!H$225</f>
        <v>6729.034029519356</v>
      </c>
      <c r="M33" s="103">
        <f t="shared" si="59"/>
        <v>13688.55241055167</v>
      </c>
      <c r="N33" s="3">
        <f t="shared" si="45"/>
        <v>5032623.772110184</v>
      </c>
      <c r="O33" s="3">
        <f>N33*N165/1000*Table!N$225</f>
        <v>5232.43435764304</v>
      </c>
      <c r="P33" s="48">
        <f t="shared" si="60"/>
        <v>13001.906822831847</v>
      </c>
      <c r="Q33" s="3">
        <f t="shared" si="61"/>
        <v>5315021.23135736</v>
      </c>
      <c r="R33" s="3">
        <f>Q33*N165/1000*Table!N$225</f>
        <v>5526.043861390319</v>
      </c>
      <c r="S33" s="103">
        <f t="shared" si="62"/>
        <v>13001.906822831847</v>
      </c>
      <c r="T33" s="3">
        <f t="shared" si="46"/>
        <v>5322497.0943188025</v>
      </c>
      <c r="U33" s="3">
        <f>T33*T165/1000*Table!T$225</f>
        <v>5067.238107445352</v>
      </c>
      <c r="V33" s="48">
        <f t="shared" si="63"/>
        <v>13300.618859045037</v>
      </c>
      <c r="W33" s="3">
        <f t="shared" si="64"/>
        <v>5806606.391548505</v>
      </c>
      <c r="X33" s="3">
        <f>W33*T165/1000*Table!T$225</f>
        <v>5528.130248036534</v>
      </c>
      <c r="Y33" s="103">
        <f t="shared" si="65"/>
        <v>13300.618859045037</v>
      </c>
      <c r="Z33" s="3">
        <f t="shared" si="47"/>
        <v>5814378.880159514</v>
      </c>
      <c r="AA33" s="3">
        <f>Z33*Z165/1000*Table!Z$225</f>
        <v>5569.484686162378</v>
      </c>
      <c r="AB33" s="48">
        <f t="shared" si="66"/>
        <v>14777.52934433083</v>
      </c>
      <c r="AC33" s="3">
        <f t="shared" si="67"/>
        <v>5581242.74632831</v>
      </c>
      <c r="AD33" s="3">
        <f>AC33*Z165/1000*Table!Z$225</f>
        <v>5346.167947792489</v>
      </c>
      <c r="AE33" s="103">
        <f t="shared" si="68"/>
        <v>14777.52934433083</v>
      </c>
      <c r="AF33" s="3">
        <f t="shared" si="48"/>
        <v>5590674.107724848</v>
      </c>
      <c r="AG33" s="3">
        <f>AF33*AF165/1000*Table!AF$225</f>
        <v>5448.6590773356</v>
      </c>
      <c r="AH33" s="48">
        <f t="shared" si="69"/>
        <v>14794.145649201531</v>
      </c>
      <c r="AI33" s="3">
        <f t="shared" si="70"/>
        <v>3724864.5695390706</v>
      </c>
      <c r="AJ33" s="3">
        <f>AI33*AF165/1000*Table!AF$225</f>
        <v>3630.24507556642</v>
      </c>
      <c r="AK33" s="103">
        <f t="shared" si="71"/>
        <v>14794.145649201531</v>
      </c>
      <c r="AL33" s="3">
        <f t="shared" si="49"/>
        <v>3736028.470112706</v>
      </c>
      <c r="AM33" s="3">
        <f>AL33*AL165/1000*Table!AL$225</f>
        <v>3658.9553438332914</v>
      </c>
      <c r="AN33" s="48">
        <f t="shared" si="72"/>
        <v>10145.288298521395</v>
      </c>
      <c r="AO33" s="3">
        <f t="shared" si="73"/>
        <v>3065228.3512902935</v>
      </c>
      <c r="AP33" s="3">
        <f>AO33*AL165/1000*Table!AL$225</f>
        <v>3001.9936265861984</v>
      </c>
      <c r="AQ33" s="103">
        <f t="shared" si="74"/>
        <v>10145.288298521395</v>
      </c>
      <c r="AR33" s="3">
        <f t="shared" si="50"/>
        <v>3072371.6459622285</v>
      </c>
      <c r="AS33" s="3">
        <f>AR33*AR165/1000*Table!AR$225</f>
        <v>3039.656503323765</v>
      </c>
      <c r="AT33" s="48">
        <f t="shared" si="75"/>
        <v>92884.85883384761</v>
      </c>
      <c r="AU33" s="3">
        <f t="shared" si="76"/>
        <v>3451998.3770030993</v>
      </c>
      <c r="AV33" s="3">
        <f>AU33*AR165/1000*Table!AR$225</f>
        <v>3415.2409035249734</v>
      </c>
      <c r="AW33" s="103">
        <f t="shared" si="77"/>
        <v>92884.85883384761</v>
      </c>
      <c r="AX33" s="3">
        <f t="shared" si="51"/>
        <v>3541467.9949334217</v>
      </c>
      <c r="AY33" s="3">
        <f>AX33*AX165/1000*Table!AX$225</f>
        <v>3496.8443002914314</v>
      </c>
      <c r="AZ33" s="48">
        <f t="shared" si="78"/>
        <v>94937.95102761018</v>
      </c>
      <c r="BA33" s="3">
        <f t="shared" si="79"/>
        <v>3929729.899398736</v>
      </c>
      <c r="BB33" s="3">
        <f>BA33*AX165/1000*Table!AX$225</f>
        <v>3880.213973430424</v>
      </c>
      <c r="BC33" s="103">
        <f t="shared" si="80"/>
        <v>94937.95102761018</v>
      </c>
      <c r="BD33" s="3">
        <f t="shared" si="52"/>
        <v>4020787.636452916</v>
      </c>
      <c r="BE33" s="3">
        <f>BD33*BD165/1000*Table!BD$225</f>
        <v>3951.3657780997382</v>
      </c>
      <c r="BF33" s="48">
        <f t="shared" si="81"/>
        <v>10462.468718434015</v>
      </c>
      <c r="BG33" s="3">
        <f t="shared" si="82"/>
        <v>3891837.564875855</v>
      </c>
      <c r="BH33" s="3">
        <f>BG33*BD165/1000*Table!BD$225</f>
        <v>3824.6421244320672</v>
      </c>
      <c r="BI33" s="103">
        <f t="shared" si="83"/>
        <v>10462.468718434015</v>
      </c>
      <c r="BJ33" s="3">
        <f t="shared" si="53"/>
        <v>3898475.391469857</v>
      </c>
      <c r="BL33">
        <v>33</v>
      </c>
    </row>
    <row r="34" spans="1:64" ht="12.75">
      <c r="A34" s="16" t="s">
        <v>43</v>
      </c>
      <c r="B34" s="26">
        <v>6443870</v>
      </c>
      <c r="C34" s="3">
        <f>B34*B166/1000*Table!B$225</f>
        <v>10173.319878773153</v>
      </c>
      <c r="D34" s="3">
        <f t="shared" si="54"/>
        <v>20025.758006910575</v>
      </c>
      <c r="E34" s="3">
        <f t="shared" si="55"/>
        <v>5585138.363976342</v>
      </c>
      <c r="F34" s="3">
        <f>E34*B166/1000*Table!B$225</f>
        <v>8817.58929710548</v>
      </c>
      <c r="G34" s="103">
        <f t="shared" si="56"/>
        <v>20025.758006910575</v>
      </c>
      <c r="H34" s="3">
        <f t="shared" si="44"/>
        <v>5596346.532686147</v>
      </c>
      <c r="I34" s="3">
        <f>H34*H166/1000*Table!H$225</f>
        <v>5684.326752697358</v>
      </c>
      <c r="J34" s="48">
        <f t="shared" si="57"/>
        <v>12085.449470218435</v>
      </c>
      <c r="K34" s="3">
        <f t="shared" si="58"/>
        <v>4589237.045121437</v>
      </c>
      <c r="L34" s="3">
        <f>K34*H166/1000*Table!H$225</f>
        <v>4661.384486770227</v>
      </c>
      <c r="M34" s="103">
        <f t="shared" si="59"/>
        <v>12085.449470218435</v>
      </c>
      <c r="N34" s="3">
        <f t="shared" si="45"/>
        <v>4596661.110104885</v>
      </c>
      <c r="O34" s="3">
        <f>N34*N166/1000*Table!N$225</f>
        <v>3625.4923521184833</v>
      </c>
      <c r="P34" s="48">
        <f t="shared" si="60"/>
        <v>8688.79488795486</v>
      </c>
      <c r="Q34" s="3">
        <f t="shared" si="61"/>
        <v>4980513.159612713</v>
      </c>
      <c r="R34" s="3">
        <f>Q34*N166/1000*Table!N$225</f>
        <v>3928.2452931121875</v>
      </c>
      <c r="S34" s="103">
        <f t="shared" si="62"/>
        <v>8688.79488795486</v>
      </c>
      <c r="T34" s="3">
        <f t="shared" si="46"/>
        <v>4985273.709207556</v>
      </c>
      <c r="U34" s="3">
        <f>T34*T166/1000*Table!T$225</f>
        <v>3600.4772369353886</v>
      </c>
      <c r="V34" s="48">
        <f t="shared" si="63"/>
        <v>9114.85778979948</v>
      </c>
      <c r="W34" s="3">
        <f t="shared" si="64"/>
        <v>5271019.7181801265</v>
      </c>
      <c r="X34" s="3">
        <f>W34*T166/1000*Table!T$225</f>
        <v>3806.849456569126</v>
      </c>
      <c r="Y34" s="103">
        <f t="shared" si="65"/>
        <v>9114.85778979948</v>
      </c>
      <c r="Z34" s="3">
        <f t="shared" si="47"/>
        <v>5276327.726513357</v>
      </c>
      <c r="AA34" s="3">
        <f>Z34*Z166/1000*Table!Z$225</f>
        <v>3834.0575882725407</v>
      </c>
      <c r="AB34" s="48">
        <f t="shared" si="66"/>
        <v>9811.484886529035</v>
      </c>
      <c r="AC34" s="3">
        <f t="shared" si="67"/>
        <v>5762285.777170972</v>
      </c>
      <c r="AD34" s="3">
        <f>AC34*Z166/1000*Table!Z$225</f>
        <v>4187.180299423232</v>
      </c>
      <c r="AE34" s="103">
        <f t="shared" si="68"/>
        <v>9811.484886529035</v>
      </c>
      <c r="AF34" s="3">
        <f t="shared" si="48"/>
        <v>5767910.081758077</v>
      </c>
      <c r="AG34" s="3">
        <f>AF34*AF166/1000*Table!AF$225</f>
        <v>4264.411659896168</v>
      </c>
      <c r="AH34" s="48">
        <f t="shared" si="69"/>
        <v>11167.312475126662</v>
      </c>
      <c r="AI34" s="3">
        <f t="shared" si="70"/>
        <v>5544997.661091855</v>
      </c>
      <c r="AJ34" s="3">
        <f>AI34*AF166/1000*Table!AF$225</f>
        <v>4099.604942670962</v>
      </c>
      <c r="AK34" s="103">
        <f t="shared" si="71"/>
        <v>11167.312475126662</v>
      </c>
      <c r="AL34" s="3">
        <f t="shared" si="49"/>
        <v>5552065.36862431</v>
      </c>
      <c r="AM34" s="3">
        <f>AL34*AL166/1000*Table!AL$225</f>
        <v>4124.930975321689</v>
      </c>
      <c r="AN34" s="48">
        <f t="shared" si="72"/>
        <v>11030.958750876802</v>
      </c>
      <c r="AO34" s="3">
        <f t="shared" si="73"/>
        <v>3708425.032376413</v>
      </c>
      <c r="AP34" s="3">
        <f>AO34*AL166/1000*Table!AL$225</f>
        <v>2755.1904147515634</v>
      </c>
      <c r="AQ34" s="103">
        <f t="shared" si="74"/>
        <v>11030.958750876802</v>
      </c>
      <c r="AR34" s="3">
        <f t="shared" si="50"/>
        <v>3716700.800712538</v>
      </c>
      <c r="AS34" s="3">
        <f>AR34*AR166/1000*Table!AR$225</f>
        <v>2789.4818791090406</v>
      </c>
      <c r="AT34" s="48">
        <f t="shared" si="75"/>
        <v>80945.97109018659</v>
      </c>
      <c r="AU34" s="3">
        <f t="shared" si="76"/>
        <v>3135685.3300564038</v>
      </c>
      <c r="AV34" s="3">
        <f>AU34*AR166/1000*Table!AR$225</f>
        <v>2353.414459701328</v>
      </c>
      <c r="AW34" s="103">
        <f t="shared" si="77"/>
        <v>80945.97109018659</v>
      </c>
      <c r="AX34" s="3">
        <f t="shared" si="51"/>
        <v>3214277.886686889</v>
      </c>
      <c r="AY34" s="3">
        <f>AX34*AX166/1000*Table!AX$225</f>
        <v>2407.6401523107497</v>
      </c>
      <c r="AZ34" s="48">
        <f t="shared" si="78"/>
        <v>80304.73574528297</v>
      </c>
      <c r="BA34" s="3">
        <f t="shared" si="79"/>
        <v>3604986.4735473134</v>
      </c>
      <c r="BB34" s="3">
        <f>BA34*AX166/1000*Table!AX$225</f>
        <v>2700.2986326101495</v>
      </c>
      <c r="BC34" s="103">
        <f t="shared" si="80"/>
        <v>80304.73574528297</v>
      </c>
      <c r="BD34" s="3">
        <f t="shared" si="52"/>
        <v>3682590.910659986</v>
      </c>
      <c r="BE34" s="3">
        <f>BD34*BD166/1000*Table!BD$225</f>
        <v>2745.3944926648837</v>
      </c>
      <c r="BF34" s="48">
        <f t="shared" si="81"/>
        <v>8930.539944380389</v>
      </c>
      <c r="BG34" s="3">
        <f t="shared" si="82"/>
        <v>3999083.6948944153</v>
      </c>
      <c r="BH34" s="3">
        <f>BG34*BD166/1000*Table!BD$225</f>
        <v>2981.341837315679</v>
      </c>
      <c r="BI34" s="103">
        <f t="shared" si="83"/>
        <v>8930.539944380389</v>
      </c>
      <c r="BJ34" s="3">
        <f t="shared" si="53"/>
        <v>4005032.89300148</v>
      </c>
      <c r="BL34">
        <v>34</v>
      </c>
    </row>
    <row r="35" spans="1:64" ht="12.75">
      <c r="A35" s="16" t="s">
        <v>44</v>
      </c>
      <c r="B35" s="26">
        <v>6009795</v>
      </c>
      <c r="C35" s="3">
        <f>B35*B167/1000*Table!B$225</f>
        <v>7954.327283250647</v>
      </c>
      <c r="D35" s="3">
        <f t="shared" si="54"/>
        <v>17957.013654930353</v>
      </c>
      <c r="E35" s="3">
        <f t="shared" si="55"/>
        <v>6334038.740809749</v>
      </c>
      <c r="F35" s="3">
        <f>E35*B167/1000*Table!B$225</f>
        <v>8383.483491398552</v>
      </c>
      <c r="G35" s="103">
        <f t="shared" si="56"/>
        <v>17957.013654930353</v>
      </c>
      <c r="H35" s="3">
        <f t="shared" si="44"/>
        <v>6343612.270973281</v>
      </c>
      <c r="I35" s="3">
        <f>H35*H167/1000*Table!H$225</f>
        <v>5401.805399518801</v>
      </c>
      <c r="J35" s="48">
        <f t="shared" si="57"/>
        <v>13171.253245174674</v>
      </c>
      <c r="K35" s="3">
        <f t="shared" si="58"/>
        <v>5500767.433545982</v>
      </c>
      <c r="L35" s="3">
        <f>K35*H167/1000*Table!H$225</f>
        <v>4684.093849806954</v>
      </c>
      <c r="M35" s="103">
        <f t="shared" si="59"/>
        <v>13171.253245174674</v>
      </c>
      <c r="N35" s="3">
        <f t="shared" si="45"/>
        <v>5509254.59294135</v>
      </c>
      <c r="O35" s="3">
        <f>N35*N167/1000*Table!N$225</f>
        <v>3642.8829534849506</v>
      </c>
      <c r="P35" s="48">
        <f t="shared" si="60"/>
        <v>10012.491546723559</v>
      </c>
      <c r="Q35" s="3">
        <f t="shared" si="61"/>
        <v>4518949.465922901</v>
      </c>
      <c r="R35" s="3">
        <f>Q35*N167/1000*Table!N$225</f>
        <v>2988.0637569667147</v>
      </c>
      <c r="S35" s="103">
        <f t="shared" si="62"/>
        <v>10012.491546723559</v>
      </c>
      <c r="T35" s="3">
        <f t="shared" si="46"/>
        <v>4525973.893712658</v>
      </c>
      <c r="U35" s="3">
        <f>T35*T167/1000*Table!T$225</f>
        <v>2740.3811704595573</v>
      </c>
      <c r="V35" s="48">
        <f t="shared" si="63"/>
        <v>7956.1909086592605</v>
      </c>
      <c r="W35" s="3">
        <f t="shared" si="64"/>
        <v>4905418.300597884</v>
      </c>
      <c r="X35" s="3">
        <f>W35*T167/1000*Table!T$225</f>
        <v>2970.1267086096905</v>
      </c>
      <c r="Y35" s="103">
        <f t="shared" si="65"/>
        <v>7956.1909086592605</v>
      </c>
      <c r="Z35" s="3">
        <f t="shared" si="47"/>
        <v>4910404.364797933</v>
      </c>
      <c r="AA35" s="3">
        <f>Z35*Z167/1000*Table!Z$225</f>
        <v>2991.3828142716734</v>
      </c>
      <c r="AB35" s="48">
        <f t="shared" si="66"/>
        <v>8779.15051289595</v>
      </c>
      <c r="AC35" s="3">
        <f t="shared" si="67"/>
        <v>5196625.017482852</v>
      </c>
      <c r="AD35" s="3">
        <f>AC35*Z167/1000*Table!Z$225</f>
        <v>3165.7463651982007</v>
      </c>
      <c r="AE35" s="103">
        <f t="shared" si="68"/>
        <v>8779.15051289595</v>
      </c>
      <c r="AF35" s="3">
        <f t="shared" si="48"/>
        <v>5202238.421630549</v>
      </c>
      <c r="AG35" s="3">
        <f>AF35*AF167/1000*Table!AF$225</f>
        <v>3224.4731229403824</v>
      </c>
      <c r="AH35" s="48">
        <f t="shared" si="69"/>
        <v>9683.953617014065</v>
      </c>
      <c r="AI35" s="3">
        <f t="shared" si="70"/>
        <v>5686507.15549516</v>
      </c>
      <c r="AJ35" s="3">
        <f>AI35*AF167/1000*Table!AF$225</f>
        <v>3524.6345899992834</v>
      </c>
      <c r="AK35" s="103">
        <f t="shared" si="71"/>
        <v>9683.953617014065</v>
      </c>
      <c r="AL35" s="3">
        <f t="shared" si="49"/>
        <v>5692666.474522175</v>
      </c>
      <c r="AM35" s="3">
        <f>AL35*AL167/1000*Table!AL$225</f>
        <v>3545.730498866031</v>
      </c>
      <c r="AN35" s="48">
        <f t="shared" si="72"/>
        <v>10874.434732612423</v>
      </c>
      <c r="AO35" s="3">
        <f t="shared" si="73"/>
        <v>5479299.973668519</v>
      </c>
      <c r="AP35" s="3">
        <f>AO35*AL167/1000*Table!AL$225</f>
        <v>3412.8331803775745</v>
      </c>
      <c r="AQ35" s="103">
        <f t="shared" si="74"/>
        <v>10874.434732612423</v>
      </c>
      <c r="AR35" s="3">
        <f t="shared" si="50"/>
        <v>5486761.575220754</v>
      </c>
      <c r="AS35" s="3">
        <f>AR35*AR167/1000*Table!AR$225</f>
        <v>3452.310904778053</v>
      </c>
      <c r="AT35" s="48">
        <f t="shared" si="75"/>
        <v>77711.36766858469</v>
      </c>
      <c r="AU35" s="3">
        <f t="shared" si="76"/>
        <v>3744164.3438021583</v>
      </c>
      <c r="AV35" s="3">
        <f>AU35*AR167/1000*Table!AR$225</f>
        <v>2355.855857080739</v>
      </c>
      <c r="AW35" s="103">
        <f t="shared" si="77"/>
        <v>77711.36766858469</v>
      </c>
      <c r="AX35" s="3">
        <f t="shared" si="51"/>
        <v>3819519.855613662</v>
      </c>
      <c r="AY35" s="3">
        <f>AX35*AX167/1000*Table!AX$225</f>
        <v>2398.5280251138456</v>
      </c>
      <c r="AZ35" s="48">
        <f t="shared" si="78"/>
        <v>72307.15817575603</v>
      </c>
      <c r="BA35" s="3">
        <f t="shared" si="79"/>
        <v>3251377.9847954316</v>
      </c>
      <c r="BB35" s="3">
        <f>BA35*AX167/1000*Table!AX$225</f>
        <v>2041.7543334166214</v>
      </c>
      <c r="BC35" s="103">
        <f t="shared" si="80"/>
        <v>72307.15817575603</v>
      </c>
      <c r="BD35" s="3">
        <f t="shared" si="52"/>
        <v>3321643.3886377714</v>
      </c>
      <c r="BE35" s="3">
        <f>BD35*BD167/1000*Table!BD$225</f>
        <v>2076.0229693301635</v>
      </c>
      <c r="BF35" s="48">
        <f t="shared" si="81"/>
        <v>6103.68383532921</v>
      </c>
      <c r="BG35" s="3">
        <f t="shared" si="82"/>
        <v>3646552.9860787536</v>
      </c>
      <c r="BH35" s="3">
        <f>BG35*BD167/1000*Table!BD$225</f>
        <v>2279.091061934747</v>
      </c>
      <c r="BI35" s="103">
        <f t="shared" si="83"/>
        <v>6103.68383532921</v>
      </c>
      <c r="BJ35" s="3">
        <f t="shared" si="53"/>
        <v>3650377.578852148</v>
      </c>
      <c r="BL35">
        <v>35</v>
      </c>
    </row>
    <row r="36" spans="1:64" ht="12.75">
      <c r="A36" s="16" t="s">
        <v>45</v>
      </c>
      <c r="B36" s="26">
        <v>5029588</v>
      </c>
      <c r="C36" s="3">
        <f>B36*B168/1000*Table!B$225</f>
        <v>6178.490541589282</v>
      </c>
      <c r="D36" s="3">
        <f t="shared" si="54"/>
        <v>12993.682573517919</v>
      </c>
      <c r="E36" s="3">
        <f t="shared" si="55"/>
        <v>5851349.47376169</v>
      </c>
      <c r="F36" s="3">
        <f>E36*B168/1000*Table!B$225</f>
        <v>7187.965968419287</v>
      </c>
      <c r="G36" s="103">
        <f t="shared" si="56"/>
        <v>12993.682573517919</v>
      </c>
      <c r="H36" s="3">
        <f t="shared" si="44"/>
        <v>5857155.190366789</v>
      </c>
      <c r="I36" s="3">
        <f>H36*H168/1000*Table!H$225</f>
        <v>4629.085604344807</v>
      </c>
      <c r="J36" s="48">
        <f t="shared" si="57"/>
        <v>10514.838042622248</v>
      </c>
      <c r="K36" s="3">
        <f t="shared" si="58"/>
        <v>6176535.998741789</v>
      </c>
      <c r="L36" s="3">
        <f>K36*H168/1000*Table!H$225</f>
        <v>4881.501846411314</v>
      </c>
      <c r="M36" s="103">
        <f t="shared" si="59"/>
        <v>10514.838042622248</v>
      </c>
      <c r="N36" s="3">
        <f t="shared" si="45"/>
        <v>6182169.334938</v>
      </c>
      <c r="O36" s="3">
        <f>N36*N168/1000*Table!N$225</f>
        <v>3794.018537769604</v>
      </c>
      <c r="P36" s="48">
        <f t="shared" si="60"/>
        <v>9714.391536864365</v>
      </c>
      <c r="Q36" s="3">
        <f t="shared" si="61"/>
        <v>5365349.703156728</v>
      </c>
      <c r="R36" s="3">
        <f>Q36*N168/1000*Table!N$225</f>
        <v>3292.733526458382</v>
      </c>
      <c r="S36" s="103">
        <f t="shared" si="62"/>
        <v>9714.391536864365</v>
      </c>
      <c r="T36" s="3">
        <f t="shared" si="46"/>
        <v>5371771.361167135</v>
      </c>
      <c r="U36" s="3">
        <f>T36*T168/1000*Table!T$225</f>
        <v>3018.7185711506163</v>
      </c>
      <c r="V36" s="48">
        <f t="shared" si="63"/>
        <v>8164.621521654071</v>
      </c>
      <c r="W36" s="3">
        <f t="shared" si="64"/>
        <v>4413054.978933356</v>
      </c>
      <c r="X36" s="3">
        <f>W36*T168/1000*Table!T$225</f>
        <v>2479.958681175211</v>
      </c>
      <c r="Y36" s="103">
        <f t="shared" si="65"/>
        <v>8164.621521654071</v>
      </c>
      <c r="Z36" s="3">
        <f t="shared" si="47"/>
        <v>4418739.641773834</v>
      </c>
      <c r="AA36" s="3">
        <f>Z36*Z168/1000*Table!Z$225</f>
        <v>2498.3847888675637</v>
      </c>
      <c r="AB36" s="48">
        <f t="shared" si="66"/>
        <v>6830.602893781838</v>
      </c>
      <c r="AC36" s="3">
        <f t="shared" si="67"/>
        <v>4793849.444954701</v>
      </c>
      <c r="AD36" s="3">
        <f>AC36*Z168/1000*Table!Z$225</f>
        <v>2710.474366982189</v>
      </c>
      <c r="AE36" s="103">
        <f t="shared" si="68"/>
        <v>6830.602893781838</v>
      </c>
      <c r="AF36" s="3">
        <f t="shared" si="48"/>
        <v>4797969.5734815</v>
      </c>
      <c r="AG36" s="3">
        <f>AF36*AF168/1000*Table!AF$225</f>
        <v>2760.1467651833727</v>
      </c>
      <c r="AH36" s="48">
        <f t="shared" si="69"/>
        <v>7722.276095210493</v>
      </c>
      <c r="AI36" s="3">
        <f t="shared" si="70"/>
        <v>5085603.662363191</v>
      </c>
      <c r="AJ36" s="3">
        <f>AI36*AF168/1000*Table!AF$225</f>
        <v>2925.615155056297</v>
      </c>
      <c r="AK36" s="103">
        <f t="shared" si="71"/>
        <v>7722.276095210493</v>
      </c>
      <c r="AL36" s="3">
        <f t="shared" si="49"/>
        <v>5090400.323303346</v>
      </c>
      <c r="AM36" s="3">
        <f>AL36*AL168/1000*Table!AL$225</f>
        <v>2942.71428727267</v>
      </c>
      <c r="AN36" s="48">
        <f t="shared" si="72"/>
        <v>8407.527103183675</v>
      </c>
      <c r="AO36" s="3">
        <f t="shared" si="73"/>
        <v>5572731.34921851</v>
      </c>
      <c r="AP36" s="3">
        <f>AO36*AL168/1000*Table!AL$225</f>
        <v>3221.5454814830227</v>
      </c>
      <c r="AQ36" s="103">
        <f t="shared" si="74"/>
        <v>8407.527103183675</v>
      </c>
      <c r="AR36" s="3">
        <f t="shared" si="50"/>
        <v>5577917.33084021</v>
      </c>
      <c r="AS36" s="3">
        <f>AR36*AR168/1000*Table!AR$225</f>
        <v>3257.407273393259</v>
      </c>
      <c r="AT36" s="48">
        <f t="shared" si="75"/>
        <v>72639.23778375902</v>
      </c>
      <c r="AU36" s="3">
        <f t="shared" si="76"/>
        <v>5444292.322258233</v>
      </c>
      <c r="AV36" s="3">
        <f>AU36*AR168/1000*Table!AR$225</f>
        <v>3179.372578892578</v>
      </c>
      <c r="AW36" s="103">
        <f t="shared" si="77"/>
        <v>72639.23778375902</v>
      </c>
      <c r="AX36" s="3">
        <f t="shared" si="51"/>
        <v>5513752.187463099</v>
      </c>
      <c r="AY36" s="3">
        <f>AX36*AX168/1000*Table!AX$225</f>
        <v>3213.582436627975</v>
      </c>
      <c r="AZ36" s="48">
        <f t="shared" si="78"/>
        <v>70297.0494164695</v>
      </c>
      <c r="BA36" s="3">
        <f t="shared" si="79"/>
        <v>3812995.187444717</v>
      </c>
      <c r="BB36" s="3">
        <f>BA36*AX168/1000*Table!AX$225</f>
        <v>2222.329540522416</v>
      </c>
      <c r="BC36" s="103">
        <f t="shared" si="80"/>
        <v>70297.0494164695</v>
      </c>
      <c r="BD36" s="3">
        <f t="shared" si="52"/>
        <v>3881069.9073206643</v>
      </c>
      <c r="BE36" s="3">
        <f>BD36*BD168/1000*Table!BD$225</f>
        <v>2251.317731130968</v>
      </c>
      <c r="BF36" s="48">
        <f t="shared" si="81"/>
        <v>4802.947314388242</v>
      </c>
      <c r="BG36" s="3">
        <f t="shared" si="82"/>
        <v>3264718.7058087518</v>
      </c>
      <c r="BH36" s="3">
        <f>BG36*BD168/1000*Table!BD$225</f>
        <v>1893.7868384381354</v>
      </c>
      <c r="BI36" s="103">
        <f t="shared" si="83"/>
        <v>4802.947314388242</v>
      </c>
      <c r="BJ36" s="3">
        <f t="shared" si="53"/>
        <v>3267627.8662847015</v>
      </c>
      <c r="BL36">
        <v>36</v>
      </c>
    </row>
    <row r="37" spans="1:64" ht="12.75">
      <c r="A37" s="16" t="s">
        <v>46</v>
      </c>
      <c r="B37" s="26">
        <v>2790083</v>
      </c>
      <c r="C37" s="3">
        <f>B37*B169/1000*Table!B$225</f>
        <v>3628.37224022602</v>
      </c>
      <c r="D37" s="3">
        <f t="shared" si="54"/>
        <v>15026.713994179228</v>
      </c>
      <c r="E37" s="3">
        <f t="shared" si="55"/>
        <v>4829412.147613011</v>
      </c>
      <c r="F37" s="3">
        <f>E37*B169/1000*Table!B$225</f>
        <v>6280.424264442806</v>
      </c>
      <c r="G37" s="103">
        <f t="shared" si="56"/>
        <v>15026.713994179228</v>
      </c>
      <c r="H37" s="3">
        <f t="shared" si="44"/>
        <v>4838158.437342747</v>
      </c>
      <c r="I37" s="3">
        <f>H37*H169/1000*Table!H$225</f>
        <v>4047.932900290568</v>
      </c>
      <c r="J37" s="48">
        <f t="shared" si="57"/>
        <v>18106.85394697153</v>
      </c>
      <c r="K37" s="3">
        <f t="shared" si="58"/>
        <v>5625566.075152271</v>
      </c>
      <c r="L37" s="3">
        <f>K37*H169/1000*Table!H$225</f>
        <v>4706.731764426123</v>
      </c>
      <c r="M37" s="103">
        <f t="shared" si="59"/>
        <v>18106.85394697153</v>
      </c>
      <c r="N37" s="3">
        <f t="shared" si="45"/>
        <v>5638966.197334817</v>
      </c>
      <c r="O37" s="3">
        <f>N37*N169/1000*Table!N$225</f>
        <v>3663.555547963033</v>
      </c>
      <c r="P37" s="48">
        <f t="shared" si="60"/>
        <v>18472.31194382615</v>
      </c>
      <c r="Q37" s="3">
        <f t="shared" si="61"/>
        <v>5939755.313570145</v>
      </c>
      <c r="R37" s="3">
        <f>Q37*N169/1000*Table!N$225</f>
        <v>3858.97392732336</v>
      </c>
      <c r="S37" s="103">
        <f t="shared" si="62"/>
        <v>18472.31194382615</v>
      </c>
      <c r="T37" s="3">
        <f t="shared" si="46"/>
        <v>5954368.651586647</v>
      </c>
      <c r="U37" s="3">
        <f>T37*T169/1000*Table!T$225</f>
        <v>3542.301835881748</v>
      </c>
      <c r="V37" s="48">
        <f t="shared" si="63"/>
        <v>18866.93325711343</v>
      </c>
      <c r="W37" s="3">
        <f t="shared" si="64"/>
        <v>5169458.234826781</v>
      </c>
      <c r="X37" s="3">
        <f>W37*T169/1000*Table!T$225</f>
        <v>3075.3523114262384</v>
      </c>
      <c r="Y37" s="103">
        <f t="shared" si="65"/>
        <v>18866.93325711343</v>
      </c>
      <c r="Z37" s="3">
        <f t="shared" si="47"/>
        <v>5185249.815772468</v>
      </c>
      <c r="AA37" s="3">
        <f>Z37*Z169/1000*Table!Z$225</f>
        <v>3103.6685565487696</v>
      </c>
      <c r="AB37" s="48">
        <f t="shared" si="66"/>
        <v>16710.03521310045</v>
      </c>
      <c r="AC37" s="3">
        <f t="shared" si="67"/>
        <v>4259368.10339511</v>
      </c>
      <c r="AD37" s="3">
        <f>AC37*Z169/1000*Table!Z$225</f>
        <v>2549.47540098505</v>
      </c>
      <c r="AE37" s="103">
        <f t="shared" si="68"/>
        <v>16710.03521310045</v>
      </c>
      <c r="AF37" s="3">
        <f t="shared" si="48"/>
        <v>4273528.6632072255</v>
      </c>
      <c r="AG37" s="3">
        <f>AF37*AF169/1000*Table!AF$225</f>
        <v>2602.591725554605</v>
      </c>
      <c r="AH37" s="48">
        <f t="shared" si="69"/>
        <v>14339.087411582976</v>
      </c>
      <c r="AI37" s="3">
        <f t="shared" si="70"/>
        <v>4633193.830553873</v>
      </c>
      <c r="AJ37" s="3">
        <f>AI37*AF169/1000*Table!AF$225</f>
        <v>2821.6288871783427</v>
      </c>
      <c r="AK37" s="103">
        <f t="shared" si="71"/>
        <v>14339.087411582976</v>
      </c>
      <c r="AL37" s="3">
        <f t="shared" si="49"/>
        <v>4644711.2890782785</v>
      </c>
      <c r="AM37" s="3">
        <f>AL37*AL169/1000*Table!AL$225</f>
        <v>2842.4944244103317</v>
      </c>
      <c r="AN37" s="48">
        <f t="shared" si="72"/>
        <v>15992.712045554228</v>
      </c>
      <c r="AO37" s="3">
        <f t="shared" si="73"/>
        <v>4924699.933994867</v>
      </c>
      <c r="AP37" s="3">
        <f>AO37*AL169/1000*Table!AL$225</f>
        <v>3013.843322660484</v>
      </c>
      <c r="AQ37" s="103">
        <f t="shared" si="74"/>
        <v>15992.712045554228</v>
      </c>
      <c r="AR37" s="3">
        <f t="shared" si="50"/>
        <v>4937678.80271776</v>
      </c>
      <c r="AS37" s="3">
        <f>AR37*AR169/1000*Table!AR$225</f>
        <v>3052.583564373448</v>
      </c>
      <c r="AT37" s="48">
        <f t="shared" si="75"/>
        <v>76852.190047943</v>
      </c>
      <c r="AU37" s="3">
        <f t="shared" si="76"/>
        <v>5467807.788214797</v>
      </c>
      <c r="AV37" s="3">
        <f>AU37*AR169/1000*Table!AR$225</f>
        <v>3380.3211699940302</v>
      </c>
      <c r="AW37" s="103">
        <f t="shared" si="77"/>
        <v>76852.190047943</v>
      </c>
      <c r="AX37" s="3">
        <f t="shared" si="51"/>
        <v>5541279.657092746</v>
      </c>
      <c r="AY37" s="3">
        <f>AX37*AX169/1000*Table!AX$225</f>
        <v>3418.983527529982</v>
      </c>
      <c r="AZ37" s="48">
        <f t="shared" si="78"/>
        <v>67936.56221468591</v>
      </c>
      <c r="BA37" s="3">
        <f t="shared" si="79"/>
        <v>5413624.114383784</v>
      </c>
      <c r="BB37" s="3">
        <f>BA37*AX169/1000*Table!AX$225</f>
        <v>3340.219735639206</v>
      </c>
      <c r="BC37" s="103">
        <f t="shared" si="80"/>
        <v>67936.56221468591</v>
      </c>
      <c r="BD37" s="3">
        <f t="shared" si="52"/>
        <v>5478220.456862831</v>
      </c>
      <c r="BE37" s="3">
        <f>BD37*BD169/1000*Table!BD$225</f>
        <v>3364.105207863898</v>
      </c>
      <c r="BF37" s="48">
        <f t="shared" si="81"/>
        <v>6519.278087375916</v>
      </c>
      <c r="BG37" s="3">
        <f t="shared" si="82"/>
        <v>3774310.5329432418</v>
      </c>
      <c r="BH37" s="3">
        <f>BG37*BD169/1000*Table!BD$225</f>
        <v>2317.755888057327</v>
      </c>
      <c r="BI37" s="103">
        <f t="shared" si="83"/>
        <v>6519.278087375916</v>
      </c>
      <c r="BJ37" s="3">
        <f t="shared" si="53"/>
        <v>3778512.05514256</v>
      </c>
      <c r="BL37">
        <v>37</v>
      </c>
    </row>
    <row r="38" spans="1:64" ht="12.75">
      <c r="A38" s="16" t="s">
        <v>47</v>
      </c>
      <c r="B38" s="26">
        <v>5177236</v>
      </c>
      <c r="C38" s="3">
        <f>B38*B170/1000*Table!B$225</f>
        <v>6406.31789572017</v>
      </c>
      <c r="D38" s="3">
        <f t="shared" si="54"/>
        <v>14925.09307802283</v>
      </c>
      <c r="E38" s="3">
        <f t="shared" si="55"/>
        <v>2633203.418655282</v>
      </c>
      <c r="F38" s="3">
        <f>E38*B170/1000*Table!B$225</f>
        <v>3258.328997172016</v>
      </c>
      <c r="G38" s="103">
        <f t="shared" si="56"/>
        <v>14925.09307802283</v>
      </c>
      <c r="H38" s="3">
        <f t="shared" si="44"/>
        <v>2644870.1827361328</v>
      </c>
      <c r="I38" s="3">
        <f>H38*H170/1000*Table!H$225</f>
        <v>2105.5879651317327</v>
      </c>
      <c r="J38" s="48">
        <f t="shared" si="57"/>
        <v>5298.33557255931</v>
      </c>
      <c r="K38" s="3">
        <f t="shared" si="58"/>
        <v>4564516.261182003</v>
      </c>
      <c r="L38" s="3">
        <f>K38*H170/1000*Table!H$225</f>
        <v>3633.8231528060464</v>
      </c>
      <c r="M38" s="103">
        <f t="shared" si="59"/>
        <v>5298.33557255931</v>
      </c>
      <c r="N38" s="3">
        <f t="shared" si="45"/>
        <v>4566180.773601756</v>
      </c>
      <c r="O38" s="3">
        <f>N38*N170/1000*Table!N$225</f>
        <v>2822.7486031152102</v>
      </c>
      <c r="P38" s="48">
        <f t="shared" si="60"/>
        <v>8006.58008669726</v>
      </c>
      <c r="Q38" s="3">
        <f t="shared" si="61"/>
        <v>5321293.776107803</v>
      </c>
      <c r="R38" s="3">
        <f>Q38*N170/1000*Table!N$225</f>
        <v>3289.548819466867</v>
      </c>
      <c r="S38" s="103">
        <f t="shared" si="62"/>
        <v>8006.58008669726</v>
      </c>
      <c r="T38" s="3">
        <f t="shared" si="46"/>
        <v>5326010.807375033</v>
      </c>
      <c r="U38" s="3">
        <f>T38*T170/1000*Table!T$225</f>
        <v>3014.863809524335</v>
      </c>
      <c r="V38" s="48">
        <f t="shared" si="63"/>
        <v>9033.162547702601</v>
      </c>
      <c r="W38" s="3">
        <f t="shared" si="64"/>
        <v>5630713.742625062</v>
      </c>
      <c r="X38" s="3">
        <f>W38*T170/1000*Table!T$225</f>
        <v>3187.345219225775</v>
      </c>
      <c r="Y38" s="103">
        <f t="shared" si="65"/>
        <v>9033.162547702601</v>
      </c>
      <c r="Z38" s="3">
        <f t="shared" si="47"/>
        <v>5636559.55995354</v>
      </c>
      <c r="AA38" s="3">
        <f>Z38*Z170/1000*Table!Z$225</f>
        <v>3210.225665367539</v>
      </c>
      <c r="AB38" s="48">
        <f t="shared" si="66"/>
        <v>9722.85858300166</v>
      </c>
      <c r="AC38" s="3">
        <f t="shared" si="67"/>
        <v>4914385.334917825</v>
      </c>
      <c r="AD38" s="3">
        <f>AC38*Z170/1000*Table!Z$225</f>
        <v>2798.921179463078</v>
      </c>
      <c r="AE38" s="103">
        <f t="shared" si="68"/>
        <v>9722.85858300166</v>
      </c>
      <c r="AF38" s="3">
        <f t="shared" si="48"/>
        <v>4921309.272321363</v>
      </c>
      <c r="AG38" s="3">
        <f>AF38*AF170/1000*Table!AF$225</f>
        <v>2851.779169741056</v>
      </c>
      <c r="AH38" s="48">
        <f t="shared" si="69"/>
        <v>8838.686656069058</v>
      </c>
      <c r="AI38" s="3">
        <f t="shared" si="70"/>
        <v>4060242.879547476</v>
      </c>
      <c r="AJ38" s="3">
        <f>AI38*AF170/1000*Table!AF$225</f>
        <v>2352.8121130499903</v>
      </c>
      <c r="AK38" s="103">
        <f t="shared" si="71"/>
        <v>8838.686656069058</v>
      </c>
      <c r="AL38" s="3">
        <f t="shared" si="49"/>
        <v>4066728.754090495</v>
      </c>
      <c r="AM38" s="3">
        <f>AL38*AL170/1000*Table!AL$225</f>
        <v>2368.110233682647</v>
      </c>
      <c r="AN38" s="48">
        <f t="shared" si="72"/>
        <v>7495.15793576888</v>
      </c>
      <c r="AO38" s="3">
        <f t="shared" si="73"/>
        <v>4424114.755771189</v>
      </c>
      <c r="AP38" s="3">
        <f>AO38*AL170/1000*Table!AL$225</f>
        <v>2576.220855052145</v>
      </c>
      <c r="AQ38" s="103">
        <f t="shared" si="74"/>
        <v>7495.15793576888</v>
      </c>
      <c r="AR38" s="3">
        <f t="shared" si="50"/>
        <v>4429033.692851906</v>
      </c>
      <c r="AS38" s="3">
        <f>AR38*AR170/1000*Table!AR$225</f>
        <v>2605.3706750626293</v>
      </c>
      <c r="AT38" s="48">
        <f t="shared" si="75"/>
        <v>63970.83509191813</v>
      </c>
      <c r="AU38" s="3">
        <f t="shared" si="76"/>
        <v>4772086.895407957</v>
      </c>
      <c r="AV38" s="3">
        <f>AU38*AR170/1000*Table!AR$225</f>
        <v>2807.1710712457393</v>
      </c>
      <c r="AW38" s="103">
        <f t="shared" si="77"/>
        <v>63970.83509191813</v>
      </c>
      <c r="AX38" s="3">
        <f t="shared" si="51"/>
        <v>4833250.559428629</v>
      </c>
      <c r="AY38" s="3">
        <f>AX38*AX170/1000*Table!AX$225</f>
        <v>2837.540442444452</v>
      </c>
      <c r="AZ38" s="48">
        <f t="shared" si="78"/>
        <v>62509.93298254344</v>
      </c>
      <c r="BA38" s="3">
        <f t="shared" si="79"/>
        <v>5351768.453060213</v>
      </c>
      <c r="BB38" s="3">
        <f>BA38*AX170/1000*Table!AX$225</f>
        <v>3141.955757814458</v>
      </c>
      <c r="BC38" s="103">
        <f t="shared" si="80"/>
        <v>62509.93298254344</v>
      </c>
      <c r="BD38" s="3">
        <f t="shared" si="52"/>
        <v>5411136.430284942</v>
      </c>
      <c r="BE38" s="3">
        <f>BD38*BD170/1000*Table!BD$225</f>
        <v>3161.7997322585215</v>
      </c>
      <c r="BF38" s="48">
        <f t="shared" si="81"/>
        <v>6793.048430335768</v>
      </c>
      <c r="BG38" s="3">
        <f t="shared" si="82"/>
        <v>5246479.332369096</v>
      </c>
      <c r="BH38" s="3">
        <f>BG38*BD170/1000*Table!BD$225</f>
        <v>3065.588377247949</v>
      </c>
      <c r="BI38" s="103">
        <f t="shared" si="83"/>
        <v>6793.048430335768</v>
      </c>
      <c r="BJ38" s="3">
        <f t="shared" si="53"/>
        <v>5250206.792422184</v>
      </c>
      <c r="BL38">
        <v>38</v>
      </c>
    </row>
    <row r="39" spans="1:64" ht="12.75">
      <c r="A39" s="16" t="s">
        <v>48</v>
      </c>
      <c r="B39" s="26">
        <v>3614607</v>
      </c>
      <c r="C39" s="3">
        <f>B39*B171/1000*Table!B$225</f>
        <v>3767.1854266689907</v>
      </c>
      <c r="D39" s="3">
        <f t="shared" si="54"/>
        <v>11062.272069013008</v>
      </c>
      <c r="E39" s="3">
        <f t="shared" si="55"/>
        <v>4708909.22580079</v>
      </c>
      <c r="F39" s="3">
        <f>E39*B171/1000*Table!B$225</f>
        <v>4907.679925077302</v>
      </c>
      <c r="G39" s="103">
        <f t="shared" si="56"/>
        <v>11062.272069013008</v>
      </c>
      <c r="H39" s="3">
        <f t="shared" si="44"/>
        <v>4715063.817944725</v>
      </c>
      <c r="I39" s="3">
        <f>H39*H171/1000*Table!H$225</f>
        <v>3161.5641131461407</v>
      </c>
      <c r="J39" s="48">
        <f t="shared" si="57"/>
        <v>10027.365377269898</v>
      </c>
      <c r="K39" s="3">
        <f t="shared" si="58"/>
        <v>2407271.4968552478</v>
      </c>
      <c r="L39" s="3">
        <f>K39*H171/1000*Table!H$225</f>
        <v>1614.1336509787968</v>
      </c>
      <c r="M39" s="103">
        <f t="shared" si="59"/>
        <v>10027.365377269898</v>
      </c>
      <c r="N39" s="3">
        <f t="shared" si="45"/>
        <v>2415684.7285815384</v>
      </c>
      <c r="O39" s="3">
        <f>N39*N171/1000*Table!N$225</f>
        <v>1257.7801682774696</v>
      </c>
      <c r="P39" s="48">
        <f t="shared" si="60"/>
        <v>4496.746125327599</v>
      </c>
      <c r="Q39" s="3">
        <f t="shared" si="61"/>
        <v>4158618.886728566</v>
      </c>
      <c r="R39" s="3">
        <f>Q39*N171/1000*Table!N$225</f>
        <v>2165.2777373075014</v>
      </c>
      <c r="S39" s="103">
        <f t="shared" si="62"/>
        <v>4496.746125327599</v>
      </c>
      <c r="T39" s="3">
        <f t="shared" si="46"/>
        <v>4160950.355116586</v>
      </c>
      <c r="U39" s="3">
        <f>T39*T171/1000*Table!T$225</f>
        <v>1983.826002174076</v>
      </c>
      <c r="V39" s="48">
        <f t="shared" si="63"/>
        <v>7491.943273301456</v>
      </c>
      <c r="W39" s="3">
        <f t="shared" si="64"/>
        <v>4864907.940942285</v>
      </c>
      <c r="X39" s="3">
        <f>W39*T171/1000*Table!T$225</f>
        <v>2319.4535016638124</v>
      </c>
      <c r="Y39" s="103">
        <f t="shared" si="65"/>
        <v>7491.943273301456</v>
      </c>
      <c r="Z39" s="3">
        <f t="shared" si="47"/>
        <v>4870080.430713922</v>
      </c>
      <c r="AA39" s="3">
        <f>Z39*Z171/1000*Table!Z$225</f>
        <v>2336.1621581579584</v>
      </c>
      <c r="AB39" s="48">
        <f t="shared" si="66"/>
        <v>8918.26076457108</v>
      </c>
      <c r="AC39" s="3">
        <f t="shared" si="67"/>
        <v>5164244.533807612</v>
      </c>
      <c r="AD39" s="3">
        <f>AC39*Z171/1000*Table!Z$225</f>
        <v>2477.271746739273</v>
      </c>
      <c r="AE39" s="103">
        <f t="shared" si="68"/>
        <v>8918.26076457108</v>
      </c>
      <c r="AF39" s="3">
        <f t="shared" si="48"/>
        <v>5170685.522825444</v>
      </c>
      <c r="AG39" s="3">
        <f>AF39*AF171/1000*Table!AF$225</f>
        <v>2523.6478193311646</v>
      </c>
      <c r="AH39" s="48">
        <f t="shared" si="69"/>
        <v>9858.69358731112</v>
      </c>
      <c r="AI39" s="3">
        <f t="shared" si="70"/>
        <v>4523798.5243832</v>
      </c>
      <c r="AJ39" s="3">
        <f>AI39*AF171/1000*Table!AF$225</f>
        <v>2207.9227658994896</v>
      </c>
      <c r="AK39" s="103">
        <f t="shared" si="71"/>
        <v>9858.69358731112</v>
      </c>
      <c r="AL39" s="3">
        <f t="shared" si="49"/>
        <v>4531449.295204612</v>
      </c>
      <c r="AM39" s="3">
        <f>AL39*AL171/1000*Table!AL$225</f>
        <v>2222.486961854612</v>
      </c>
      <c r="AN39" s="48">
        <f t="shared" si="72"/>
        <v>8866.186680185787</v>
      </c>
      <c r="AO39" s="3">
        <f t="shared" si="73"/>
        <v>3751215.839370828</v>
      </c>
      <c r="AP39" s="3">
        <f>AO39*AL171/1000*Table!AL$225</f>
        <v>1839.8149799285623</v>
      </c>
      <c r="AQ39" s="103">
        <f t="shared" si="74"/>
        <v>8866.186680185787</v>
      </c>
      <c r="AR39" s="3">
        <f t="shared" si="50"/>
        <v>3758242.211071085</v>
      </c>
      <c r="AS39" s="3">
        <f>AR39*AR171/1000*Table!AR$225</f>
        <v>1862.0472258646937</v>
      </c>
      <c r="AT39" s="48">
        <f t="shared" si="75"/>
        <v>59343.98956104156</v>
      </c>
      <c r="AU39" s="3">
        <f t="shared" si="76"/>
        <v>4151561.5720897</v>
      </c>
      <c r="AV39" s="3">
        <f>AU39*AR171/1000*Table!AR$225</f>
        <v>2056.920037123673</v>
      </c>
      <c r="AW39" s="103">
        <f t="shared" si="77"/>
        <v>59343.98956104156</v>
      </c>
      <c r="AX39" s="3">
        <f t="shared" si="51"/>
        <v>4208848.641613618</v>
      </c>
      <c r="AY39" s="3">
        <f>AX39*AX171/1000*Table!AX$225</f>
        <v>2081.1886420299666</v>
      </c>
      <c r="AZ39" s="48">
        <f t="shared" si="78"/>
        <v>58382.779828867875</v>
      </c>
      <c r="BA39" s="3">
        <f t="shared" si="79"/>
        <v>4540183.809735455</v>
      </c>
      <c r="BB39" s="3">
        <f>BA39*AX171/1000*Table!AX$225</f>
        <v>2245.0270328388797</v>
      </c>
      <c r="BC39" s="103">
        <f t="shared" si="80"/>
        <v>58382.779828867875</v>
      </c>
      <c r="BD39" s="3">
        <f t="shared" si="52"/>
        <v>4596321.562531483</v>
      </c>
      <c r="BE39" s="3">
        <f>BD39*BD171/1000*Table!BD$225</f>
        <v>2262.0472280574377</v>
      </c>
      <c r="BF39" s="48">
        <f t="shared" si="81"/>
        <v>6188.684884947088</v>
      </c>
      <c r="BG39" s="3">
        <f t="shared" si="82"/>
        <v>5042854.935819487</v>
      </c>
      <c r="BH39" s="3">
        <f>BG39*BD171/1000*Table!BD$225</f>
        <v>2481.805477244196</v>
      </c>
      <c r="BI39" s="103">
        <f t="shared" si="83"/>
        <v>6188.684884947088</v>
      </c>
      <c r="BJ39" s="3">
        <f t="shared" si="53"/>
        <v>5046561.81522719</v>
      </c>
      <c r="BL39">
        <v>39</v>
      </c>
    </row>
    <row r="40" spans="1:64" ht="12.75">
      <c r="A40" s="16" t="s">
        <v>49</v>
      </c>
      <c r="B40" s="26">
        <v>4092022</v>
      </c>
      <c r="C40" s="3">
        <f>B40*B172/1000*Table!B$225</f>
        <v>4467.801593929226</v>
      </c>
      <c r="D40" s="3">
        <f t="shared" si="54"/>
        <v>10387.558233537202</v>
      </c>
      <c r="E40" s="3">
        <f t="shared" si="55"/>
        <v>3101465.4661337724</v>
      </c>
      <c r="F40" s="3">
        <f>E40*B172/1000*Table!B$225</f>
        <v>3386.2800232034238</v>
      </c>
      <c r="G40" s="103">
        <f t="shared" si="56"/>
        <v>10387.558233537202</v>
      </c>
      <c r="H40" s="3">
        <f t="shared" si="44"/>
        <v>3108466.7443441064</v>
      </c>
      <c r="I40" s="3">
        <f>H40*H172/1000*Table!H$225</f>
        <v>2183.5374764660746</v>
      </c>
      <c r="J40" s="48">
        <f t="shared" si="57"/>
        <v>5483.24626771945</v>
      </c>
      <c r="K40" s="3">
        <f t="shared" si="58"/>
        <v>4049871.2701760298</v>
      </c>
      <c r="L40" s="3">
        <f>K40*H172/1000*Table!H$225</f>
        <v>2844.825574982475</v>
      </c>
      <c r="M40" s="103">
        <f t="shared" si="59"/>
        <v>5483.24626771945</v>
      </c>
      <c r="N40" s="3">
        <f t="shared" si="45"/>
        <v>4052509.690868767</v>
      </c>
      <c r="O40" s="3">
        <f>N40*N172/1000*Table!N$225</f>
        <v>2210.4900165119284</v>
      </c>
      <c r="P40" s="48">
        <f t="shared" si="60"/>
        <v>6257.119348185593</v>
      </c>
      <c r="Q40" s="3">
        <f t="shared" si="61"/>
        <v>2076722.0967268993</v>
      </c>
      <c r="R40" s="3">
        <f>Q40*N172/1000*Table!N$225</f>
        <v>1132.7729757755162</v>
      </c>
      <c r="S40" s="103">
        <f t="shared" si="62"/>
        <v>6257.119348185593</v>
      </c>
      <c r="T40" s="3">
        <f t="shared" si="46"/>
        <v>2081846.4430993095</v>
      </c>
      <c r="U40" s="3">
        <f>T40*T172/1000*Table!T$225</f>
        <v>1039.823776227047</v>
      </c>
      <c r="V40" s="48">
        <f t="shared" si="63"/>
        <v>3109.1587730584365</v>
      </c>
      <c r="W40" s="3">
        <f t="shared" si="64"/>
        <v>3592042.555257287</v>
      </c>
      <c r="X40" s="3">
        <f>W40*T172/1000*Table!T$225</f>
        <v>1794.1242816234496</v>
      </c>
      <c r="Y40" s="103">
        <f t="shared" si="65"/>
        <v>3109.1587730584365</v>
      </c>
      <c r="Z40" s="3">
        <f t="shared" si="47"/>
        <v>3593357.589748722</v>
      </c>
      <c r="AA40" s="3">
        <f>Z40*Z172/1000*Table!Z$225</f>
        <v>1805.7902156572634</v>
      </c>
      <c r="AB40" s="48">
        <f t="shared" si="66"/>
        <v>5458.0402261736635</v>
      </c>
      <c r="AC40" s="3">
        <f t="shared" si="67"/>
        <v>4222475.43722557</v>
      </c>
      <c r="AD40" s="3">
        <f>AC40*Z172/1000*Table!Z$225</f>
        <v>2121.944348691514</v>
      </c>
      <c r="AE40" s="103">
        <f t="shared" si="68"/>
        <v>5458.0402261736635</v>
      </c>
      <c r="AF40" s="3">
        <f t="shared" si="48"/>
        <v>4225811.533103052</v>
      </c>
      <c r="AG40" s="3">
        <f>AF40*AF172/1000*Table!AF$225</f>
        <v>2160.6815011144877</v>
      </c>
      <c r="AH40" s="48">
        <f t="shared" si="69"/>
        <v>6683.033361325242</v>
      </c>
      <c r="AI40" s="3">
        <f t="shared" si="70"/>
        <v>4504257.318835611</v>
      </c>
      <c r="AJ40" s="3">
        <f>AI40*AF172/1000*Table!AF$225</f>
        <v>2303.052416992472</v>
      </c>
      <c r="AK40" s="103">
        <f t="shared" si="71"/>
        <v>6683.033361325242</v>
      </c>
      <c r="AL40" s="3">
        <f t="shared" si="49"/>
        <v>4508637.299779944</v>
      </c>
      <c r="AM40" s="3">
        <f>AL40*AL172/1000*Table!AL$225</f>
        <v>2316.580537778963</v>
      </c>
      <c r="AN40" s="48">
        <f t="shared" si="72"/>
        <v>7317.071645552932</v>
      </c>
      <c r="AO40" s="3">
        <f t="shared" si="73"/>
        <v>3967135.444432693</v>
      </c>
      <c r="AP40" s="3">
        <f>AO40*AL172/1000*Table!AL$225</f>
        <v>2038.3517569165354</v>
      </c>
      <c r="AQ40" s="103">
        <f t="shared" si="74"/>
        <v>7317.071645552932</v>
      </c>
      <c r="AR40" s="3">
        <f t="shared" si="50"/>
        <v>3972414.1643213294</v>
      </c>
      <c r="AS40" s="3">
        <f>AR40*AR172/1000*Table!AR$225</f>
        <v>2061.866079386339</v>
      </c>
      <c r="AT40" s="48">
        <f t="shared" si="75"/>
        <v>54587.805060093735</v>
      </c>
      <c r="AU40" s="3">
        <f t="shared" si="76"/>
        <v>3352953.9461799343</v>
      </c>
      <c r="AV40" s="3">
        <f>AU40*AR172/1000*Table!AR$225</f>
        <v>1740.3376690844345</v>
      </c>
      <c r="AW40" s="103">
        <f t="shared" si="77"/>
        <v>54587.805060093735</v>
      </c>
      <c r="AX40" s="3">
        <f t="shared" si="51"/>
        <v>3405801.4135709438</v>
      </c>
      <c r="AY40" s="3">
        <f>AX40*AX172/1000*Table!AX$225</f>
        <v>1764.2798224456203</v>
      </c>
      <c r="AZ40" s="48">
        <f t="shared" si="78"/>
        <v>52606.77240734207</v>
      </c>
      <c r="BA40" s="3">
        <f t="shared" si="79"/>
        <v>3767842.4203762137</v>
      </c>
      <c r="BB40" s="3">
        <f>BA40*AX172/1000*Table!AX$225</f>
        <v>1951.8250036353604</v>
      </c>
      <c r="BC40" s="103">
        <f t="shared" si="80"/>
        <v>52606.77240734207</v>
      </c>
      <c r="BD40" s="3">
        <f t="shared" si="52"/>
        <v>3818497.367779921</v>
      </c>
      <c r="BE40" s="3">
        <f>BD40*BD172/1000*Table!BD$225</f>
        <v>1968.719149629568</v>
      </c>
      <c r="BF40" s="48">
        <f t="shared" si="81"/>
        <v>5725.077037740599</v>
      </c>
      <c r="BG40" s="3">
        <f t="shared" si="82"/>
        <v>4085849.498264573</v>
      </c>
      <c r="BH40" s="3">
        <f>BG40*BD172/1000*Table!BD$225</f>
        <v>2106.559040111256</v>
      </c>
      <c r="BI40" s="103">
        <f t="shared" si="83"/>
        <v>5725.077037740599</v>
      </c>
      <c r="BJ40" s="3">
        <f t="shared" si="53"/>
        <v>4089468.0162622025</v>
      </c>
      <c r="BL40">
        <v>40</v>
      </c>
    </row>
    <row r="41" spans="1:64" ht="12.75">
      <c r="A41" s="16" t="s">
        <v>50</v>
      </c>
      <c r="B41" s="26">
        <v>2554898</v>
      </c>
      <c r="C41" s="3">
        <f>B41*B173/1000*Table!B$225</f>
        <v>3134.5080851760854</v>
      </c>
      <c r="D41" s="3">
        <f t="shared" si="54"/>
        <v>5439.094767309043</v>
      </c>
      <c r="E41" s="3">
        <f t="shared" si="55"/>
        <v>3181233.9421305484</v>
      </c>
      <c r="F41" s="3">
        <f>E41*B173/1000*Table!B$225</f>
        <v>3902.936051632901</v>
      </c>
      <c r="G41" s="103">
        <f t="shared" si="56"/>
        <v>5439.094767309043</v>
      </c>
      <c r="H41" s="3">
        <f t="shared" si="44"/>
        <v>3182770.100846225</v>
      </c>
      <c r="I41" s="3">
        <f>H41*H173/1000*Table!H$225</f>
        <v>2512.231192556437</v>
      </c>
      <c r="J41" s="48">
        <f t="shared" si="57"/>
        <v>4708.41076206009</v>
      </c>
      <c r="K41" s="3">
        <f t="shared" si="58"/>
        <v>2421311.608879319</v>
      </c>
      <c r="L41" s="3">
        <f>K41*H173/1000*Table!H$225</f>
        <v>1911.1950778689088</v>
      </c>
      <c r="M41" s="103">
        <f t="shared" si="59"/>
        <v>4708.41076206009</v>
      </c>
      <c r="N41" s="3">
        <f t="shared" si="45"/>
        <v>2424108.82456351</v>
      </c>
      <c r="O41" s="3">
        <f>N41*N173/1000*Table!N$225</f>
        <v>1485.7868748412152</v>
      </c>
      <c r="P41" s="48">
        <f t="shared" si="60"/>
        <v>3138.9184816657666</v>
      </c>
      <c r="Q41" s="3">
        <f t="shared" si="61"/>
        <v>3161106.392873148</v>
      </c>
      <c r="R41" s="3">
        <f>Q41*N173/1000*Table!N$225</f>
        <v>1937.5080610720047</v>
      </c>
      <c r="S41" s="103">
        <f t="shared" si="62"/>
        <v>3138.9184816657666</v>
      </c>
      <c r="T41" s="3">
        <f t="shared" si="46"/>
        <v>3162307.803293742</v>
      </c>
      <c r="U41" s="3">
        <f>T41*T173/1000*Table!T$225</f>
        <v>1774.8232112411938</v>
      </c>
      <c r="V41" s="48">
        <f t="shared" si="63"/>
        <v>3960.7359943811</v>
      </c>
      <c r="W41" s="3">
        <f t="shared" si="64"/>
        <v>1633947.2897521078</v>
      </c>
      <c r="X41" s="3">
        <f>W41*T173/1000*Table!T$225</f>
        <v>917.0415266901543</v>
      </c>
      <c r="Y41" s="103">
        <f t="shared" si="65"/>
        <v>3960.7359943811</v>
      </c>
      <c r="Z41" s="3">
        <f t="shared" si="47"/>
        <v>1636990.9842197988</v>
      </c>
      <c r="AA41" s="3">
        <f>Z41*Z173/1000*Table!Z$225</f>
        <v>924.3853512219962</v>
      </c>
      <c r="AB41" s="48">
        <f t="shared" si="66"/>
        <v>2085.2596023719543</v>
      </c>
      <c r="AC41" s="3">
        <f t="shared" si="67"/>
        <v>2838336.3786657103</v>
      </c>
      <c r="AD41" s="3">
        <f>AC41*Z173/1000*Table!Z$225</f>
        <v>1602.7678805632231</v>
      </c>
      <c r="AE41" s="103">
        <f t="shared" si="68"/>
        <v>2085.2596023719543</v>
      </c>
      <c r="AF41" s="3">
        <f t="shared" si="48"/>
        <v>2838818.8703875192</v>
      </c>
      <c r="AG41" s="3">
        <f>AF41*AF173/1000*Table!AF$225</f>
        <v>1631.0160035177769</v>
      </c>
      <c r="AH41" s="48">
        <f t="shared" si="69"/>
        <v>3765.1192542676968</v>
      </c>
      <c r="AI41" s="3">
        <f t="shared" si="70"/>
        <v>3361160.540087487</v>
      </c>
      <c r="AJ41" s="3">
        <f>AI41*AF173/1000*Table!AF$225</f>
        <v>1931.1223722163004</v>
      </c>
      <c r="AK41" s="103">
        <f t="shared" si="71"/>
        <v>3765.1192542676968</v>
      </c>
      <c r="AL41" s="3">
        <f t="shared" si="49"/>
        <v>3362994.536969539</v>
      </c>
      <c r="AM41" s="3">
        <f>AL41*AL173/1000*Table!AL$225</f>
        <v>1941.6376059356512</v>
      </c>
      <c r="AN41" s="48">
        <f t="shared" si="72"/>
        <v>4577.156032884846</v>
      </c>
      <c r="AO41" s="3">
        <f t="shared" si="73"/>
        <v>3612780.3205834967</v>
      </c>
      <c r="AP41" s="3">
        <f>AO41*AL173/1000*Table!AL$225</f>
        <v>2085.852372139227</v>
      </c>
      <c r="AQ41" s="103">
        <f t="shared" si="74"/>
        <v>4577.156032884846</v>
      </c>
      <c r="AR41" s="3">
        <f t="shared" si="50"/>
        <v>3615271.6242442424</v>
      </c>
      <c r="AS41" s="3">
        <f>AR41*AR173/1000*Table!AR$225</f>
        <v>2108.563934307449</v>
      </c>
      <c r="AT41" s="48">
        <f t="shared" si="75"/>
        <v>44789.39262871955</v>
      </c>
      <c r="AU41" s="3">
        <f t="shared" si="76"/>
        <v>3246728.641419675</v>
      </c>
      <c r="AV41" s="3">
        <f>AU41*AR173/1000*Table!AR$225</f>
        <v>1893.6156475411892</v>
      </c>
      <c r="AW41" s="103">
        <f t="shared" si="77"/>
        <v>44789.39262871955</v>
      </c>
      <c r="AX41" s="3">
        <f t="shared" si="51"/>
        <v>3289624.4184008534</v>
      </c>
      <c r="AY41" s="3">
        <f>AX41*AX173/1000*Table!AX$225</f>
        <v>1914.8482923490114</v>
      </c>
      <c r="AZ41" s="48">
        <f t="shared" si="78"/>
        <v>43777.19028584194</v>
      </c>
      <c r="BA41" s="3">
        <f t="shared" si="79"/>
        <v>2810761.3667241135</v>
      </c>
      <c r="BB41" s="3">
        <f>BA41*AX173/1000*Table!AX$225</f>
        <v>1636.1082356899021</v>
      </c>
      <c r="BC41" s="103">
        <f t="shared" si="80"/>
        <v>43777.19028584194</v>
      </c>
      <c r="BD41" s="3">
        <f t="shared" si="52"/>
        <v>2852902.4487742656</v>
      </c>
      <c r="BE41" s="3">
        <f>BD41*BD173/1000*Table!BD$225</f>
        <v>1652.7916160302702</v>
      </c>
      <c r="BF41" s="48">
        <f t="shared" si="81"/>
        <v>3685.1484963501575</v>
      </c>
      <c r="BG41" s="3">
        <f t="shared" si="82"/>
        <v>3133613.487525117</v>
      </c>
      <c r="BH41" s="3">
        <f>BG41*BD173/1000*Table!BD$225</f>
        <v>1815.4178746231262</v>
      </c>
      <c r="BI41" s="103">
        <f t="shared" si="83"/>
        <v>3685.1484963501575</v>
      </c>
      <c r="BJ41" s="3">
        <f t="shared" si="53"/>
        <v>3135483.2181468443</v>
      </c>
      <c r="BL41">
        <v>41</v>
      </c>
    </row>
    <row r="42" spans="1:64" ht="12.75">
      <c r="A42" s="16" t="s">
        <v>65</v>
      </c>
      <c r="B42" s="26">
        <v>1172330</v>
      </c>
      <c r="C42" s="3">
        <f>B42*B174/1000*Table!B$225</f>
        <v>1417.0320605148443</v>
      </c>
      <c r="D42" s="3">
        <f t="shared" si="54"/>
        <v>3063.4950998761733</v>
      </c>
      <c r="E42" s="3">
        <f t="shared" si="55"/>
        <v>1678219.3245566052</v>
      </c>
      <c r="F42" s="3">
        <f>E42*B174/1000*Table!B$225</f>
        <v>2028.516362689922</v>
      </c>
      <c r="G42" s="103">
        <f t="shared" si="56"/>
        <v>3063.4950998761733</v>
      </c>
      <c r="H42" s="3">
        <f t="shared" si="44"/>
        <v>1679254.3032937914</v>
      </c>
      <c r="I42" s="3">
        <f>H42*H174/1000*Table!H$225</f>
        <v>1305.8845189836447</v>
      </c>
      <c r="J42" s="48">
        <f t="shared" si="57"/>
        <v>3049.2974868849105</v>
      </c>
      <c r="K42" s="3">
        <f t="shared" si="58"/>
        <v>2096860.1492018541</v>
      </c>
      <c r="L42" s="3">
        <f>K42*H174/1000*Table!H$225</f>
        <v>1630.6387912452885</v>
      </c>
      <c r="M42" s="103">
        <f t="shared" si="59"/>
        <v>3049.2974868849105</v>
      </c>
      <c r="N42" s="3">
        <f t="shared" si="45"/>
        <v>2098278.8078974937</v>
      </c>
      <c r="O42" s="3">
        <f>N42*N174/1000*Table!N$225</f>
        <v>1267.0728023469317</v>
      </c>
      <c r="P42" s="48">
        <f t="shared" si="60"/>
        <v>3335.0732025355155</v>
      </c>
      <c r="Q42" s="3">
        <f t="shared" si="61"/>
        <v>1600231.8832824198</v>
      </c>
      <c r="R42" s="3">
        <f>Q42*N174/1000*Table!N$225</f>
        <v>966.3207239781729</v>
      </c>
      <c r="S42" s="103">
        <f t="shared" si="62"/>
        <v>3335.0732025355155</v>
      </c>
      <c r="T42" s="3">
        <f t="shared" si="46"/>
        <v>1602600.6357609772</v>
      </c>
      <c r="U42" s="3">
        <f>T42*T174/1000*Table!T$225</f>
        <v>886.1561182281565</v>
      </c>
      <c r="V42" s="48">
        <f t="shared" si="63"/>
        <v>2463.8332849348617</v>
      </c>
      <c r="W42" s="3">
        <f t="shared" si="64"/>
        <v>2105229.579970095</v>
      </c>
      <c r="X42" s="3">
        <f>W42*T174/1000*Table!T$225</f>
        <v>1164.0841959853274</v>
      </c>
      <c r="Y42" s="103">
        <f t="shared" si="65"/>
        <v>2463.8332849348617</v>
      </c>
      <c r="Z42" s="3">
        <f t="shared" si="47"/>
        <v>2106529.3290590444</v>
      </c>
      <c r="AA42" s="3">
        <f>Z42*Z174/1000*Table!Z$225</f>
        <v>1171.9477422938332</v>
      </c>
      <c r="AB42" s="48">
        <f t="shared" si="66"/>
        <v>3293.787705994969</v>
      </c>
      <c r="AC42" s="3">
        <f t="shared" si="67"/>
        <v>1099380.1434604404</v>
      </c>
      <c r="AD42" s="3">
        <f>AC42*Z174/1000*Table!Z$225</f>
        <v>611.6297833017355</v>
      </c>
      <c r="AE42" s="103">
        <f t="shared" si="68"/>
        <v>3293.787705994969</v>
      </c>
      <c r="AF42" s="3">
        <f t="shared" si="48"/>
        <v>1102062.3013831335</v>
      </c>
      <c r="AG42" s="3">
        <f>AF42*AF174/1000*Table!AF$225</f>
        <v>623.8219544535195</v>
      </c>
      <c r="AH42" s="48">
        <f t="shared" si="69"/>
        <v>1794.1611621139587</v>
      </c>
      <c r="AI42" s="3">
        <f t="shared" si="70"/>
        <v>1924821.6610009</v>
      </c>
      <c r="AJ42" s="3">
        <f>AI42*AF174/1000*Table!AF$225</f>
        <v>1089.5445829451437</v>
      </c>
      <c r="AK42" s="103">
        <f t="shared" si="71"/>
        <v>1794.1611621139587</v>
      </c>
      <c r="AL42" s="3">
        <f t="shared" si="49"/>
        <v>1925526.277580069</v>
      </c>
      <c r="AM42" s="3">
        <f>AL42*AL174/1000*Table!AL$225</f>
        <v>1095.280693351088</v>
      </c>
      <c r="AN42" s="48">
        <f t="shared" si="72"/>
        <v>3216.8681245551584</v>
      </c>
      <c r="AO42" s="3">
        <f t="shared" si="73"/>
        <v>2303762.6650355617</v>
      </c>
      <c r="AP42" s="3">
        <f>AO42*AL174/1000*Table!AL$225</f>
        <v>1310.4296723738562</v>
      </c>
      <c r="AQ42" s="103">
        <f t="shared" si="74"/>
        <v>3216.8681245551584</v>
      </c>
      <c r="AR42" s="3">
        <f t="shared" si="50"/>
        <v>2305669.103487743</v>
      </c>
      <c r="AS42" s="3">
        <f>AR42*AR174/1000*Table!AR$225</f>
        <v>1324.8807527302008</v>
      </c>
      <c r="AT42" s="48">
        <f t="shared" si="75"/>
        <v>32589.514849077445</v>
      </c>
      <c r="AU42" s="3">
        <f t="shared" si="76"/>
        <v>2531173.42416813</v>
      </c>
      <c r="AV42" s="3">
        <f>AU42*AR174/1000*Table!AR$225</f>
        <v>1454.4597689363882</v>
      </c>
      <c r="AW42" s="103">
        <f t="shared" si="77"/>
        <v>32589.514849077445</v>
      </c>
      <c r="AX42" s="3">
        <f t="shared" si="51"/>
        <v>2562308.479248271</v>
      </c>
      <c r="AY42" s="3">
        <f>AX42*AX174/1000*Table!AX$225</f>
        <v>1469.4453483193772</v>
      </c>
      <c r="AZ42" s="48">
        <f t="shared" si="78"/>
        <v>32225.31752512462</v>
      </c>
      <c r="BA42" s="3">
        <f t="shared" si="79"/>
        <v>2331432.943735512</v>
      </c>
      <c r="BB42" s="3">
        <f>BA42*AX174/1000*Table!AX$225</f>
        <v>1337.0417035406265</v>
      </c>
      <c r="BC42" s="103">
        <f t="shared" si="80"/>
        <v>32225.31752512462</v>
      </c>
      <c r="BD42" s="3">
        <f t="shared" si="52"/>
        <v>2362321.219557096</v>
      </c>
      <c r="BE42" s="3">
        <f>BD42*BD174/1000*Table!BD$225</f>
        <v>1348.3545342225577</v>
      </c>
      <c r="BF42" s="48">
        <f t="shared" si="81"/>
        <v>2883.8405626117383</v>
      </c>
      <c r="BG42" s="3">
        <f t="shared" si="82"/>
        <v>2021262.5605120112</v>
      </c>
      <c r="BH42" s="3">
        <f>BG42*BD174/1000*Table!BD$225</f>
        <v>1153.6866856877493</v>
      </c>
      <c r="BI42" s="103">
        <f t="shared" si="83"/>
        <v>2883.8405626117383</v>
      </c>
      <c r="BJ42" s="3">
        <f t="shared" si="53"/>
        <v>2022992.7143889351</v>
      </c>
      <c r="BL42">
        <v>42</v>
      </c>
    </row>
    <row r="43" spans="1:64" ht="12.75">
      <c r="A43" s="16" t="s">
        <v>66</v>
      </c>
      <c r="B43" s="26">
        <v>1094858</v>
      </c>
      <c r="C43" s="3">
        <f>B43*B175/1000*Table!B$225</f>
        <v>1220.2616528219912</v>
      </c>
      <c r="D43" s="3">
        <f t="shared" si="54"/>
        <v>1993.486629758819</v>
      </c>
      <c r="E43" s="3">
        <f>(B42-C42+D42+B43-C43+D43)*B83</f>
        <v>906016.0379118995</v>
      </c>
      <c r="F43" s="3">
        <f>E43*B175/1000*Table!B$225</f>
        <v>1009.789970850655</v>
      </c>
      <c r="G43" s="103">
        <f t="shared" si="56"/>
        <v>1993.486629758819</v>
      </c>
      <c r="H43" s="3">
        <f t="shared" si="44"/>
        <v>906999.7345708077</v>
      </c>
      <c r="I43" s="3">
        <f>H43*H175/1000*Table!H$225</f>
        <v>650.370499264578</v>
      </c>
      <c r="J43" s="48">
        <f t="shared" si="57"/>
        <v>1147.568730300513</v>
      </c>
      <c r="K43" s="3">
        <f>(H42-I42+J42+H43-I43+J43)*H83</f>
        <v>1036543.4368979408</v>
      </c>
      <c r="L43" s="3">
        <f>K43*H175/1000*Table!H$225</f>
        <v>743.2607164805149</v>
      </c>
      <c r="M43" s="103">
        <f t="shared" si="59"/>
        <v>1147.568730300513</v>
      </c>
      <c r="N43" s="3">
        <f t="shared" si="45"/>
        <v>1036947.7449117608</v>
      </c>
      <c r="O43" s="3">
        <f>N43*N175/1000*Table!N$225</f>
        <v>577.3785107353941</v>
      </c>
      <c r="P43" s="48">
        <f t="shared" si="60"/>
        <v>1148.3843564230303</v>
      </c>
      <c r="Q43" s="3">
        <f>(N42-O42+P42+N43-O43+P43)*N83</f>
        <v>1259011.5399112832</v>
      </c>
      <c r="R43" s="3">
        <f>Q43*N175/1000*Table!N$225</f>
        <v>701.0249180632624</v>
      </c>
      <c r="S43" s="103">
        <f t="shared" si="62"/>
        <v>1148.3843564230303</v>
      </c>
      <c r="T43" s="3">
        <f t="shared" si="46"/>
        <v>1259458.899349643</v>
      </c>
      <c r="U43" s="3">
        <f>T43*T175/1000*Table!T$225</f>
        <v>642.146765103547</v>
      </c>
      <c r="V43" s="48">
        <f t="shared" si="63"/>
        <v>1349.1437527102166</v>
      </c>
      <c r="W43" s="3">
        <f>(T42-U42+V42+T43-U43+V43)*T83</f>
        <v>1158856.8773694753</v>
      </c>
      <c r="X43" s="3">
        <f>W43*T175/1000*Table!T$225</f>
        <v>590.85389400565</v>
      </c>
      <c r="Y43" s="103">
        <f t="shared" si="65"/>
        <v>1349.1437527102166</v>
      </c>
      <c r="Z43" s="3">
        <f t="shared" si="47"/>
        <v>1159615.1672281798</v>
      </c>
      <c r="AA43" s="3">
        <f>Z43*Z175/1000*Table!Z$225</f>
        <v>594.867159377604</v>
      </c>
      <c r="AB43" s="48">
        <f t="shared" si="66"/>
        <v>1263.3689560552482</v>
      </c>
      <c r="AC43" s="3">
        <f>(Z42-AA42+AB42+Z43-AA43+AB43)*Z83</f>
        <v>1334064.3608854623</v>
      </c>
      <c r="AD43" s="3">
        <f>AC43*Z175/1000*Table!Z$225</f>
        <v>684.3572757708482</v>
      </c>
      <c r="AE43" s="103">
        <f t="shared" si="68"/>
        <v>1263.3689560552482</v>
      </c>
      <c r="AF43" s="3">
        <f t="shared" si="48"/>
        <v>1334643.3725657468</v>
      </c>
      <c r="AG43" s="3">
        <f>AF43*AF175/1000*Table!AF$225</f>
        <v>696.6026345863726</v>
      </c>
      <c r="AH43" s="48">
        <f t="shared" si="69"/>
        <v>1513.940331885606</v>
      </c>
      <c r="AI43" s="3">
        <f>(AF42-AG42+AH42+AF43-AG43+AH43)*AF83</f>
        <v>1004731.270161926</v>
      </c>
      <c r="AJ43" s="3">
        <f>AI43*AF175/1000*Table!AF$225</f>
        <v>524.4085905140416</v>
      </c>
      <c r="AK43" s="103">
        <f t="shared" si="71"/>
        <v>1513.940331885606</v>
      </c>
      <c r="AL43" s="3">
        <f t="shared" si="49"/>
        <v>1005720.8019032975</v>
      </c>
      <c r="AM43" s="3">
        <f>AL43*AL175/1000*Table!AL$225</f>
        <v>527.4955321637391</v>
      </c>
      <c r="AN43" s="48">
        <f t="shared" si="72"/>
        <v>1170.7103569645856</v>
      </c>
      <c r="AO43" s="3">
        <f>(AL42-AM42+AN42+AL43-AM43+AN43)*AL83</f>
        <v>1221289.4702004346</v>
      </c>
      <c r="AP43" s="3">
        <f>AO43*AL175/1000*Table!AL$225</f>
        <v>640.5602208785704</v>
      </c>
      <c r="AQ43" s="103">
        <f t="shared" si="74"/>
        <v>1170.7103569645856</v>
      </c>
      <c r="AR43" s="3">
        <f t="shared" si="50"/>
        <v>1221819.6203365205</v>
      </c>
      <c r="AS43" s="3">
        <f>AR43*AR175/1000*Table!AR$225</f>
        <v>647.3695618767101</v>
      </c>
      <c r="AT43" s="48">
        <f t="shared" si="75"/>
        <v>45771.570275969454</v>
      </c>
      <c r="AU43" s="3">
        <f>(AR42-AS42+AT42+AR43-AS43+AT43)*AR83</f>
        <v>1516686.478079694</v>
      </c>
      <c r="AV43" s="3">
        <f>AU43*AR175/1000*Table!AR$225</f>
        <v>803.6019756732616</v>
      </c>
      <c r="AW43" s="103">
        <f t="shared" si="77"/>
        <v>45771.570275969454</v>
      </c>
      <c r="AX43" s="3">
        <f t="shared" si="51"/>
        <v>1561654.4463799903</v>
      </c>
      <c r="AY43" s="3">
        <f>AX43*AX175/1000*Table!AX$225</f>
        <v>825.7951667795993</v>
      </c>
      <c r="AZ43" s="48">
        <f t="shared" si="78"/>
        <v>50118.00212241533</v>
      </c>
      <c r="BA43" s="3">
        <f>(AX42-AY42+AZ42+AX43-AY43+AZ43)*AX83</f>
        <v>1789745.8887749873</v>
      </c>
      <c r="BB43" s="3">
        <f>BA43*AX175/1000*Table!AX$225</f>
        <v>946.4087962225267</v>
      </c>
      <c r="BC43" s="103">
        <f t="shared" si="80"/>
        <v>50118.00212241533</v>
      </c>
      <c r="BD43" s="3">
        <f t="shared" si="52"/>
        <v>1838917.4821011801</v>
      </c>
      <c r="BE43" s="3">
        <f>BD43*BD175/1000*Table!BD$225</f>
        <v>967.8159171397949</v>
      </c>
      <c r="BF43" s="48">
        <f t="shared" si="81"/>
        <v>5728.455625098659</v>
      </c>
      <c r="BG43" s="3">
        <f>(BD42-BE42+BF42+BD43-BE43+BF43)*BD83</f>
        <v>1812792.0307937178</v>
      </c>
      <c r="BH43" s="3">
        <f>BG43*BD175/1000*Table!BD$225</f>
        <v>954.0661823833816</v>
      </c>
      <c r="BI43" s="103">
        <f t="shared" si="83"/>
        <v>5728.455625098659</v>
      </c>
      <c r="BJ43" s="3">
        <f t="shared" si="53"/>
        <v>1817566.4202364332</v>
      </c>
      <c r="BL43">
        <v>43</v>
      </c>
    </row>
    <row r="44" spans="2:58" ht="12.75">
      <c r="B44" s="26"/>
      <c r="C44" s="26"/>
      <c r="D44" s="3"/>
      <c r="I44" s="26"/>
      <c r="J44" s="3"/>
      <c r="O44" s="26"/>
      <c r="P44" s="3"/>
      <c r="U44" s="26"/>
      <c r="V44" s="3"/>
      <c r="AA44" s="26"/>
      <c r="AB44" s="3"/>
      <c r="AG44" s="26"/>
      <c r="AH44" s="3"/>
      <c r="AM44" s="26"/>
      <c r="AN44" s="3"/>
      <c r="AS44" s="26"/>
      <c r="AT44" s="3"/>
      <c r="AY44" s="26"/>
      <c r="AZ44" s="3"/>
      <c r="BE44" s="26"/>
      <c r="BF44" s="3"/>
    </row>
    <row r="45" spans="2:59" ht="12.75">
      <c r="B45" s="4"/>
      <c r="C45" s="4"/>
      <c r="D45" s="4"/>
      <c r="E45" s="4"/>
      <c r="I45" s="4"/>
      <c r="J45" s="4"/>
      <c r="K45" s="4"/>
      <c r="O45" s="4"/>
      <c r="P45" s="4"/>
      <c r="Q45" s="4"/>
      <c r="U45" s="4"/>
      <c r="V45" s="4"/>
      <c r="W45" s="4"/>
      <c r="AA45" s="4"/>
      <c r="AB45" s="4"/>
      <c r="AC45" s="4"/>
      <c r="AG45" s="4"/>
      <c r="AH45" s="4"/>
      <c r="AI45" s="4"/>
      <c r="AM45" s="4"/>
      <c r="AN45" s="4"/>
      <c r="AO45" s="4"/>
      <c r="AS45" s="4"/>
      <c r="AT45" s="4"/>
      <c r="AU45" s="4"/>
      <c r="AY45" s="4"/>
      <c r="AZ45" s="4"/>
      <c r="BA45" s="4"/>
      <c r="BE45" s="4"/>
      <c r="BF45" s="4"/>
      <c r="BG45" s="4"/>
    </row>
    <row r="46" spans="1:64" ht="12.75">
      <c r="A46" t="s">
        <v>57</v>
      </c>
      <c r="B46" s="1" t="s">
        <v>134</v>
      </c>
      <c r="C46" s="1"/>
      <c r="D46" s="1"/>
      <c r="E46" s="1"/>
      <c r="F46" s="1"/>
      <c r="G46" s="1"/>
      <c r="H46" s="1" t="s">
        <v>134</v>
      </c>
      <c r="I46" s="1"/>
      <c r="J46" s="1"/>
      <c r="K46" s="1"/>
      <c r="L46" s="1"/>
      <c r="M46" s="1"/>
      <c r="N46" s="1" t="s">
        <v>134</v>
      </c>
      <c r="O46" s="1"/>
      <c r="P46" s="1"/>
      <c r="Q46" s="1"/>
      <c r="R46" s="1"/>
      <c r="S46" s="1"/>
      <c r="T46" s="1" t="s">
        <v>134</v>
      </c>
      <c r="U46" s="1"/>
      <c r="V46" s="1"/>
      <c r="W46" s="1"/>
      <c r="X46" s="1"/>
      <c r="Y46" s="1"/>
      <c r="Z46" s="1" t="s">
        <v>134</v>
      </c>
      <c r="AA46" s="1"/>
      <c r="AB46" s="1"/>
      <c r="AC46" s="1"/>
      <c r="AD46" s="1"/>
      <c r="AE46" s="1"/>
      <c r="AF46" s="1" t="s">
        <v>134</v>
      </c>
      <c r="AG46" s="1"/>
      <c r="AH46" s="1"/>
      <c r="AI46" s="1"/>
      <c r="AJ46" s="1"/>
      <c r="AK46" s="1"/>
      <c r="AL46" s="1" t="s">
        <v>134</v>
      </c>
      <c r="AM46" s="1"/>
      <c r="AN46" s="1"/>
      <c r="AO46" s="1"/>
      <c r="AP46" s="1"/>
      <c r="AQ46" s="1"/>
      <c r="AR46" s="1" t="s">
        <v>134</v>
      </c>
      <c r="AS46" s="1"/>
      <c r="AT46" s="1"/>
      <c r="AU46" s="1"/>
      <c r="AV46" s="1"/>
      <c r="AW46" s="1"/>
      <c r="AX46" s="1" t="s">
        <v>134</v>
      </c>
      <c r="AY46" s="1"/>
      <c r="AZ46" s="1"/>
      <c r="BA46" s="1"/>
      <c r="BB46" s="1"/>
      <c r="BC46" s="1"/>
      <c r="BD46" s="1" t="s">
        <v>134</v>
      </c>
      <c r="BJ46" s="47" t="s">
        <v>134</v>
      </c>
      <c r="BL46" t="s">
        <v>57</v>
      </c>
    </row>
    <row r="47" spans="1:64" ht="12.75">
      <c r="A47" s="6" t="s">
        <v>16</v>
      </c>
      <c r="B47" s="51">
        <v>0.9822250550238489</v>
      </c>
      <c r="C47" s="1"/>
      <c r="D47" s="38"/>
      <c r="E47" s="1"/>
      <c r="F47" s="1"/>
      <c r="G47" s="52"/>
      <c r="H47" s="51">
        <v>0.9844674244280245</v>
      </c>
      <c r="I47" s="52"/>
      <c r="J47" s="38"/>
      <c r="K47" s="1"/>
      <c r="L47" s="1"/>
      <c r="M47" s="52"/>
      <c r="N47" s="51">
        <v>0.986669446573037</v>
      </c>
      <c r="O47" s="52"/>
      <c r="P47" s="38"/>
      <c r="Q47" s="1"/>
      <c r="R47" s="1"/>
      <c r="S47" s="52"/>
      <c r="T47" s="51">
        <v>0.9888843437612111</v>
      </c>
      <c r="U47" s="52"/>
      <c r="V47" s="38"/>
      <c r="W47" s="1"/>
      <c r="X47" s="1"/>
      <c r="Y47" s="52"/>
      <c r="Z47" s="51">
        <v>0.9909018147523015</v>
      </c>
      <c r="AA47" s="52"/>
      <c r="AB47" s="38"/>
      <c r="AC47" s="1"/>
      <c r="AD47" s="1"/>
      <c r="AE47" s="52"/>
      <c r="AF47" s="51">
        <v>0.9924325239601938</v>
      </c>
      <c r="AG47" s="52"/>
      <c r="AH47" s="38"/>
      <c r="AI47" s="1"/>
      <c r="AJ47" s="1"/>
      <c r="AK47" s="52"/>
      <c r="AL47" s="51">
        <v>0.9935402030364967</v>
      </c>
      <c r="AM47" s="52"/>
      <c r="AN47" s="38"/>
      <c r="AO47" s="1"/>
      <c r="AP47" s="1"/>
      <c r="AQ47" s="52"/>
      <c r="AR47" s="51">
        <v>0.9943110886142655</v>
      </c>
      <c r="AS47" s="52"/>
      <c r="AT47" s="38"/>
      <c r="AU47" s="1"/>
      <c r="AV47" s="1"/>
      <c r="AW47" s="52"/>
      <c r="AX47" s="51">
        <v>0.9948716079125554</v>
      </c>
      <c r="AY47" s="52"/>
      <c r="AZ47" s="38"/>
      <c r="BA47" s="1"/>
      <c r="BB47" s="1"/>
      <c r="BC47" s="52"/>
      <c r="BD47" s="51">
        <v>0.9952935227592643</v>
      </c>
      <c r="BE47" s="35"/>
      <c r="BF47" s="2"/>
      <c r="BI47" s="35"/>
      <c r="BJ47" s="53">
        <v>0.9793701259771934</v>
      </c>
      <c r="BL47" s="6" t="s">
        <v>16</v>
      </c>
    </row>
    <row r="48" spans="1:64" ht="12.75">
      <c r="A48" s="13" t="s">
        <v>21</v>
      </c>
      <c r="B48" s="51">
        <v>0.996308896701759</v>
      </c>
      <c r="C48" s="1"/>
      <c r="D48" s="38"/>
      <c r="E48" s="1"/>
      <c r="F48" s="1"/>
      <c r="G48" s="52"/>
      <c r="H48" s="51">
        <v>0.9968413387222694</v>
      </c>
      <c r="I48" s="52"/>
      <c r="J48" s="38"/>
      <c r="K48" s="1"/>
      <c r="L48" s="1"/>
      <c r="M48" s="52"/>
      <c r="N48" s="51">
        <v>0.9972396720359019</v>
      </c>
      <c r="O48" s="52"/>
      <c r="P48" s="38"/>
      <c r="Q48" s="1"/>
      <c r="R48" s="1"/>
      <c r="S48" s="52"/>
      <c r="T48" s="51">
        <v>0.9976718070033243</v>
      </c>
      <c r="U48" s="52"/>
      <c r="V48" s="38"/>
      <c r="W48" s="1"/>
      <c r="X48" s="1"/>
      <c r="Y48" s="52"/>
      <c r="Z48" s="51">
        <v>0.9980578123328453</v>
      </c>
      <c r="AA48" s="52"/>
      <c r="AB48" s="38"/>
      <c r="AC48" s="1"/>
      <c r="AD48" s="1"/>
      <c r="AE48" s="52"/>
      <c r="AF48" s="51">
        <v>0.9983595462121455</v>
      </c>
      <c r="AG48" s="52"/>
      <c r="AH48" s="38"/>
      <c r="AI48" s="1"/>
      <c r="AJ48" s="1"/>
      <c r="AK48" s="52"/>
      <c r="AL48" s="51">
        <v>0.9985894272224001</v>
      </c>
      <c r="AM48" s="52"/>
      <c r="AN48" s="38"/>
      <c r="AO48" s="1"/>
      <c r="AP48" s="1"/>
      <c r="AQ48" s="52"/>
      <c r="AR48" s="51">
        <v>0.9987621893384159</v>
      </c>
      <c r="AS48" s="52"/>
      <c r="AT48" s="38"/>
      <c r="AU48" s="1"/>
      <c r="AV48" s="1"/>
      <c r="AW48" s="52"/>
      <c r="AX48" s="51">
        <v>0.9988978166460086</v>
      </c>
      <c r="AY48" s="52"/>
      <c r="AZ48" s="38"/>
      <c r="BA48" s="1"/>
      <c r="BB48" s="1"/>
      <c r="BC48" s="52"/>
      <c r="BD48" s="51">
        <v>0.9990080011989896</v>
      </c>
      <c r="BE48" s="35"/>
      <c r="BF48" s="2"/>
      <c r="BI48" s="35"/>
      <c r="BJ48" s="53">
        <v>0.9958121209336314</v>
      </c>
      <c r="BL48" s="13" t="s">
        <v>21</v>
      </c>
    </row>
    <row r="49" spans="1:64" ht="12.75">
      <c r="A49" s="16" t="s">
        <v>33</v>
      </c>
      <c r="B49" s="51">
        <v>0.9971176989878633</v>
      </c>
      <c r="C49" s="1"/>
      <c r="D49" s="38"/>
      <c r="E49" s="1"/>
      <c r="F49" s="1"/>
      <c r="G49" s="52"/>
      <c r="H49" s="51">
        <v>0.9974111907691505</v>
      </c>
      <c r="I49" s="52"/>
      <c r="J49" s="38"/>
      <c r="K49" s="1"/>
      <c r="L49" s="1"/>
      <c r="M49" s="52"/>
      <c r="N49" s="51">
        <v>0.9975280880807331</v>
      </c>
      <c r="O49" s="52"/>
      <c r="P49" s="38"/>
      <c r="Q49" s="1"/>
      <c r="R49" s="1"/>
      <c r="S49" s="52"/>
      <c r="T49" s="51">
        <v>0.9977196627220191</v>
      </c>
      <c r="U49" s="52"/>
      <c r="V49" s="38"/>
      <c r="W49" s="1"/>
      <c r="X49" s="1"/>
      <c r="Y49" s="52"/>
      <c r="Z49" s="51">
        <v>0.9979055286413696</v>
      </c>
      <c r="AA49" s="52"/>
      <c r="AB49" s="38"/>
      <c r="AC49" s="1"/>
      <c r="AD49" s="1"/>
      <c r="AE49" s="52"/>
      <c r="AF49" s="51">
        <v>0.9980802948812701</v>
      </c>
      <c r="AG49" s="52"/>
      <c r="AH49" s="38"/>
      <c r="AI49" s="1"/>
      <c r="AJ49" s="1"/>
      <c r="AK49" s="52"/>
      <c r="AL49" s="51">
        <v>0.9982419218876417</v>
      </c>
      <c r="AM49" s="52"/>
      <c r="AN49" s="38"/>
      <c r="AO49" s="1"/>
      <c r="AP49" s="1"/>
      <c r="AQ49" s="52"/>
      <c r="AR49" s="51">
        <v>0.9983896783338942</v>
      </c>
      <c r="AS49" s="52"/>
      <c r="AT49" s="38"/>
      <c r="AU49" s="1"/>
      <c r="AV49" s="1"/>
      <c r="AW49" s="52"/>
      <c r="AX49" s="51">
        <v>0.9985252247964926</v>
      </c>
      <c r="AY49" s="52"/>
      <c r="AZ49" s="38"/>
      <c r="BA49" s="1"/>
      <c r="BB49" s="1"/>
      <c r="BC49" s="52"/>
      <c r="BD49" s="51">
        <v>0.9986500442220531</v>
      </c>
      <c r="BE49" s="35"/>
      <c r="BF49" s="2"/>
      <c r="BI49" s="35"/>
      <c r="BJ49" s="53">
        <v>0.9970446070518216</v>
      </c>
      <c r="BL49" s="16" t="s">
        <v>33</v>
      </c>
    </row>
    <row r="50" spans="1:64" ht="12.75">
      <c r="A50" s="16" t="s">
        <v>37</v>
      </c>
      <c r="B50" s="51">
        <v>0.9934442670742116</v>
      </c>
      <c r="C50" s="1"/>
      <c r="D50" s="38"/>
      <c r="E50" s="1"/>
      <c r="F50" s="1"/>
      <c r="G50" s="52"/>
      <c r="H50" s="51">
        <v>0.9939997887205134</v>
      </c>
      <c r="I50" s="52"/>
      <c r="J50" s="38"/>
      <c r="K50" s="1"/>
      <c r="L50" s="1"/>
      <c r="M50" s="52"/>
      <c r="N50" s="51">
        <v>0.9941350454974647</v>
      </c>
      <c r="O50" s="52"/>
      <c r="P50" s="38"/>
      <c r="Q50" s="1"/>
      <c r="R50" s="1"/>
      <c r="S50" s="52"/>
      <c r="T50" s="51">
        <v>0.994446379901176</v>
      </c>
      <c r="U50" s="52"/>
      <c r="V50" s="38"/>
      <c r="W50" s="1"/>
      <c r="X50" s="1"/>
      <c r="Y50" s="52"/>
      <c r="Z50" s="51">
        <v>0.9947546659285401</v>
      </c>
      <c r="AA50" s="52"/>
      <c r="AB50" s="38"/>
      <c r="AC50" s="1"/>
      <c r="AD50" s="1"/>
      <c r="AE50" s="52"/>
      <c r="AF50" s="51">
        <v>0.9950712093262302</v>
      </c>
      <c r="AG50" s="52"/>
      <c r="AH50" s="38"/>
      <c r="AI50" s="1"/>
      <c r="AJ50" s="1"/>
      <c r="AK50" s="52"/>
      <c r="AL50" s="51">
        <v>0.9953917219425946</v>
      </c>
      <c r="AM50" s="52"/>
      <c r="AN50" s="38"/>
      <c r="AO50" s="1"/>
      <c r="AP50" s="1"/>
      <c r="AQ50" s="52"/>
      <c r="AR50" s="51">
        <v>0.995710985570531</v>
      </c>
      <c r="AS50" s="52"/>
      <c r="AT50" s="38"/>
      <c r="AU50" s="1"/>
      <c r="AV50" s="1"/>
      <c r="AW50" s="52"/>
      <c r="AX50" s="51">
        <v>0.9960227475186696</v>
      </c>
      <c r="AY50" s="52"/>
      <c r="AZ50" s="38"/>
      <c r="BA50" s="1"/>
      <c r="BB50" s="1"/>
      <c r="BC50" s="52"/>
      <c r="BD50" s="51">
        <v>0.9963236618110003</v>
      </c>
      <c r="BE50" s="35"/>
      <c r="BF50" s="2"/>
      <c r="BI50" s="35"/>
      <c r="BJ50" s="53">
        <v>0.9934405387394187</v>
      </c>
      <c r="BL50" s="16" t="s">
        <v>37</v>
      </c>
    </row>
    <row r="51" spans="1:64" ht="12.75">
      <c r="A51" s="16" t="s">
        <v>38</v>
      </c>
      <c r="B51" s="51">
        <v>0.9841806853481828</v>
      </c>
      <c r="C51" s="1"/>
      <c r="D51" s="38"/>
      <c r="E51" s="1"/>
      <c r="F51" s="1"/>
      <c r="G51" s="52"/>
      <c r="H51" s="51">
        <v>0.9854854097135886</v>
      </c>
      <c r="I51" s="52"/>
      <c r="J51" s="38"/>
      <c r="K51" s="1"/>
      <c r="L51" s="1"/>
      <c r="M51" s="52"/>
      <c r="N51" s="51">
        <v>0.9858037544022079</v>
      </c>
      <c r="O51" s="52"/>
      <c r="P51" s="38"/>
      <c r="Q51" s="1"/>
      <c r="R51" s="1"/>
      <c r="S51" s="52"/>
      <c r="T51" s="51">
        <v>0.9865375551187033</v>
      </c>
      <c r="U51" s="52"/>
      <c r="V51" s="38"/>
      <c r="W51" s="1"/>
      <c r="X51" s="1"/>
      <c r="Y51" s="52"/>
      <c r="Z51" s="51">
        <v>0.9872656269938817</v>
      </c>
      <c r="AA51" s="52"/>
      <c r="AB51" s="38"/>
      <c r="AC51" s="1"/>
      <c r="AD51" s="1"/>
      <c r="AE51" s="52"/>
      <c r="AF51" s="51">
        <v>0.9880147575508674</v>
      </c>
      <c r="AG51" s="52"/>
      <c r="AH51" s="38"/>
      <c r="AI51" s="1"/>
      <c r="AJ51" s="1"/>
      <c r="AK51" s="52"/>
      <c r="AL51" s="51">
        <v>0.9887749477572516</v>
      </c>
      <c r="AM51" s="52"/>
      <c r="AN51" s="38"/>
      <c r="AO51" s="1"/>
      <c r="AP51" s="1"/>
      <c r="AQ51" s="52"/>
      <c r="AR51" s="51">
        <v>0.9895339090513302</v>
      </c>
      <c r="AS51" s="52"/>
      <c r="AT51" s="38"/>
      <c r="AU51" s="1"/>
      <c r="AV51" s="1"/>
      <c r="AW51" s="52"/>
      <c r="AX51" s="51">
        <v>0.9902767797448967</v>
      </c>
      <c r="AY51" s="52"/>
      <c r="AZ51" s="38"/>
      <c r="BA51" s="1"/>
      <c r="BB51" s="1"/>
      <c r="BC51" s="52"/>
      <c r="BD51" s="51">
        <v>0.9909955127138556</v>
      </c>
      <c r="BE51" s="35"/>
      <c r="BF51" s="2"/>
      <c r="BI51" s="35"/>
      <c r="BJ51" s="53">
        <v>0.9841719435562499</v>
      </c>
      <c r="BL51" s="16" t="s">
        <v>38</v>
      </c>
    </row>
    <row r="52" spans="1:64" ht="12.75">
      <c r="A52" s="16" t="s">
        <v>39</v>
      </c>
      <c r="B52" s="51">
        <v>0.9766944762972966</v>
      </c>
      <c r="C52" s="1"/>
      <c r="D52" s="38"/>
      <c r="E52" s="1"/>
      <c r="F52" s="1"/>
      <c r="G52" s="52"/>
      <c r="H52" s="51">
        <v>0.9785782375972915</v>
      </c>
      <c r="I52" s="52"/>
      <c r="J52" s="38"/>
      <c r="K52" s="1"/>
      <c r="L52" s="1"/>
      <c r="M52" s="52"/>
      <c r="N52" s="51">
        <v>0.979038480141141</v>
      </c>
      <c r="O52" s="52"/>
      <c r="P52" s="38"/>
      <c r="Q52" s="1"/>
      <c r="R52" s="1"/>
      <c r="S52" s="52"/>
      <c r="T52" s="51">
        <v>0.9801003212615758</v>
      </c>
      <c r="U52" s="52"/>
      <c r="V52" s="38"/>
      <c r="W52" s="1"/>
      <c r="X52" s="1"/>
      <c r="Y52" s="52"/>
      <c r="Z52" s="51">
        <v>0.981155237556262</v>
      </c>
      <c r="AA52" s="52"/>
      <c r="AB52" s="38"/>
      <c r="AC52" s="1"/>
      <c r="AD52" s="1"/>
      <c r="AE52" s="52"/>
      <c r="AF52" s="51">
        <v>0.9822421471473024</v>
      </c>
      <c r="AG52" s="52"/>
      <c r="AH52" s="38"/>
      <c r="AI52" s="1"/>
      <c r="AJ52" s="1"/>
      <c r="AK52" s="52"/>
      <c r="AL52" s="51">
        <v>0.9833467113808787</v>
      </c>
      <c r="AM52" s="52"/>
      <c r="AN52" s="38"/>
      <c r="AO52" s="1"/>
      <c r="AP52" s="1"/>
      <c r="AQ52" s="52"/>
      <c r="AR52" s="51">
        <v>0.9844511899835163</v>
      </c>
      <c r="AS52" s="52"/>
      <c r="AT52" s="38"/>
      <c r="AU52" s="1"/>
      <c r="AV52" s="1"/>
      <c r="AW52" s="52"/>
      <c r="AX52" s="51">
        <v>0.9855339901963233</v>
      </c>
      <c r="AY52" s="52"/>
      <c r="AZ52" s="38"/>
      <c r="BA52" s="1"/>
      <c r="BB52" s="1"/>
      <c r="BC52" s="52"/>
      <c r="BD52" s="51">
        <v>0.986583341981434</v>
      </c>
      <c r="BE52" s="35"/>
      <c r="BF52" s="2"/>
      <c r="BI52" s="35"/>
      <c r="BJ52" s="53">
        <v>0.9766818682373182</v>
      </c>
      <c r="BL52" s="16" t="s">
        <v>39</v>
      </c>
    </row>
    <row r="53" spans="1:64" ht="12.75">
      <c r="A53" s="16" t="s">
        <v>40</v>
      </c>
      <c r="B53" s="51">
        <v>0.9717480287140863</v>
      </c>
      <c r="C53" s="1"/>
      <c r="D53" s="38"/>
      <c r="E53" s="1"/>
      <c r="F53" s="1"/>
      <c r="G53" s="52"/>
      <c r="H53" s="51">
        <v>0.9739962597153204</v>
      </c>
      <c r="I53" s="52"/>
      <c r="J53" s="38"/>
      <c r="K53" s="1"/>
      <c r="L53" s="1"/>
      <c r="M53" s="52"/>
      <c r="N53" s="51">
        <v>0.9745461894818686</v>
      </c>
      <c r="O53" s="52"/>
      <c r="P53" s="38"/>
      <c r="Q53" s="1"/>
      <c r="R53" s="1"/>
      <c r="S53" s="52"/>
      <c r="T53" s="51">
        <v>0.975815936133776</v>
      </c>
      <c r="U53" s="52"/>
      <c r="V53" s="38"/>
      <c r="W53" s="1"/>
      <c r="X53" s="1"/>
      <c r="Y53" s="52"/>
      <c r="Z53" s="51">
        <v>0.9770787943024606</v>
      </c>
      <c r="AA53" s="52"/>
      <c r="AB53" s="38"/>
      <c r="AC53" s="1"/>
      <c r="AD53" s="1"/>
      <c r="AE53" s="52"/>
      <c r="AF53" s="51">
        <v>0.9783814477675694</v>
      </c>
      <c r="AG53" s="52"/>
      <c r="AH53" s="38"/>
      <c r="AI53" s="1"/>
      <c r="AJ53" s="1"/>
      <c r="AK53" s="52"/>
      <c r="AL53" s="51">
        <v>0.9797068672931091</v>
      </c>
      <c r="AM53" s="52"/>
      <c r="AN53" s="38"/>
      <c r="AO53" s="1"/>
      <c r="AP53" s="1"/>
      <c r="AQ53" s="52"/>
      <c r="AR53" s="51">
        <v>0.9810338638630121</v>
      </c>
      <c r="AS53" s="52"/>
      <c r="AT53" s="38"/>
      <c r="AU53" s="1"/>
      <c r="AV53" s="1"/>
      <c r="AW53" s="52"/>
      <c r="AX53" s="51">
        <v>0.982336511184923</v>
      </c>
      <c r="AY53" s="52"/>
      <c r="AZ53" s="38"/>
      <c r="BA53" s="1"/>
      <c r="BB53" s="1"/>
      <c r="BC53" s="52"/>
      <c r="BD53" s="51">
        <v>0.9836005919762975</v>
      </c>
      <c r="BE53" s="35"/>
      <c r="BF53" s="2"/>
      <c r="BI53" s="35"/>
      <c r="BJ53" s="53">
        <v>0.9717329951697228</v>
      </c>
      <c r="BL53" s="16" t="s">
        <v>40</v>
      </c>
    </row>
    <row r="54" spans="1:64" ht="12.75">
      <c r="A54" s="16" t="s">
        <v>41</v>
      </c>
      <c r="B54" s="51">
        <v>0.9641382973380181</v>
      </c>
      <c r="C54" s="1"/>
      <c r="D54" s="38"/>
      <c r="E54" s="1"/>
      <c r="F54" s="1"/>
      <c r="G54" s="52"/>
      <c r="H54" s="51">
        <v>0.9668671545103289</v>
      </c>
      <c r="I54" s="52"/>
      <c r="J54" s="38"/>
      <c r="K54" s="1"/>
      <c r="L54" s="1"/>
      <c r="M54" s="52"/>
      <c r="N54" s="51">
        <v>0.9675363917579585</v>
      </c>
      <c r="O54" s="52"/>
      <c r="P54" s="38"/>
      <c r="Q54" s="1"/>
      <c r="R54" s="1"/>
      <c r="S54" s="52"/>
      <c r="T54" s="51">
        <v>0.9690843554061342</v>
      </c>
      <c r="U54" s="52"/>
      <c r="V54" s="38"/>
      <c r="W54" s="1"/>
      <c r="X54" s="1"/>
      <c r="Y54" s="52"/>
      <c r="Z54" s="51">
        <v>0.9706278684486203</v>
      </c>
      <c r="AA54" s="52"/>
      <c r="AB54" s="38"/>
      <c r="AC54" s="1"/>
      <c r="AD54" s="1"/>
      <c r="AE54" s="52"/>
      <c r="AF54" s="51">
        <v>0.9722243554226141</v>
      </c>
      <c r="AG54" s="52"/>
      <c r="AH54" s="38"/>
      <c r="AI54" s="1"/>
      <c r="AJ54" s="1"/>
      <c r="AK54" s="52"/>
      <c r="AL54" s="51">
        <v>0.9738535101472977</v>
      </c>
      <c r="AM54" s="52"/>
      <c r="AN54" s="38"/>
      <c r="AO54" s="1"/>
      <c r="AP54" s="1"/>
      <c r="AQ54" s="52"/>
      <c r="AR54" s="51">
        <v>0.9754897076303889</v>
      </c>
      <c r="AS54" s="52"/>
      <c r="AT54" s="38"/>
      <c r="AU54" s="1"/>
      <c r="AV54" s="1"/>
      <c r="AW54" s="52"/>
      <c r="AX54" s="51">
        <v>0.9771011689762812</v>
      </c>
      <c r="AY54" s="52"/>
      <c r="AZ54" s="38"/>
      <c r="BA54" s="1"/>
      <c r="BB54" s="1"/>
      <c r="BC54" s="52"/>
      <c r="BD54" s="51">
        <v>0.978670269816371</v>
      </c>
      <c r="BE54" s="35"/>
      <c r="BF54" s="2"/>
      <c r="BI54" s="35"/>
      <c r="BJ54" s="53">
        <v>0.964120087285331</v>
      </c>
      <c r="BL54" s="16" t="s">
        <v>41</v>
      </c>
    </row>
    <row r="55" spans="1:64" ht="12.75">
      <c r="A55" s="16" t="s">
        <v>42</v>
      </c>
      <c r="B55" s="51">
        <v>0.9520644805149904</v>
      </c>
      <c r="C55" s="1"/>
      <c r="D55" s="1"/>
      <c r="E55" s="1"/>
      <c r="F55" s="1"/>
      <c r="G55" s="1"/>
      <c r="H55" s="51">
        <v>0.9553711041253246</v>
      </c>
      <c r="I55" s="1"/>
      <c r="J55" s="1"/>
      <c r="K55" s="1"/>
      <c r="L55" s="1"/>
      <c r="M55" s="1"/>
      <c r="N55" s="51">
        <v>0.9561862929774629</v>
      </c>
      <c r="O55" s="1"/>
      <c r="P55" s="1"/>
      <c r="Q55" s="1"/>
      <c r="R55" s="1"/>
      <c r="S55" s="1"/>
      <c r="T55" s="51">
        <v>0.9580786005426253</v>
      </c>
      <c r="U55" s="1"/>
      <c r="V55" s="1"/>
      <c r="W55" s="1"/>
      <c r="X55" s="1"/>
      <c r="Y55" s="1"/>
      <c r="Z55" s="51">
        <v>0.9599752415235212</v>
      </c>
      <c r="AA55" s="1"/>
      <c r="AB55" s="1"/>
      <c r="AC55" s="1"/>
      <c r="AD55" s="1"/>
      <c r="AE55" s="1"/>
      <c r="AF55" s="51">
        <v>0.961947793512512</v>
      </c>
      <c r="AG55" s="1"/>
      <c r="AH55" s="1"/>
      <c r="AI55" s="1"/>
      <c r="AJ55" s="1"/>
      <c r="AK55" s="1"/>
      <c r="AL55" s="51">
        <v>0.9639727019150536</v>
      </c>
      <c r="AM55" s="1"/>
      <c r="AN55" s="1"/>
      <c r="AO55" s="1"/>
      <c r="AP55" s="1"/>
      <c r="AQ55" s="1"/>
      <c r="AR55" s="51">
        <v>0.9660193191092149</v>
      </c>
      <c r="AS55" s="1"/>
      <c r="AT55" s="1"/>
      <c r="AU55" s="1"/>
      <c r="AV55" s="1"/>
      <c r="AW55" s="1"/>
      <c r="AX55" s="51">
        <v>0.9680485343388953</v>
      </c>
      <c r="AY55" s="1"/>
      <c r="AZ55" s="1"/>
      <c r="BA55" s="1"/>
      <c r="BB55" s="1"/>
      <c r="BC55" s="1"/>
      <c r="BD55" s="51">
        <v>0.9700382320613216</v>
      </c>
      <c r="BJ55" s="53">
        <v>0.9520425055299572</v>
      </c>
      <c r="BL55" s="16" t="s">
        <v>42</v>
      </c>
    </row>
    <row r="56" spans="1:64" ht="12.75">
      <c r="A56" s="16" t="s">
        <v>43</v>
      </c>
      <c r="B56" s="51">
        <v>0.9337831150511174</v>
      </c>
      <c r="C56" s="1"/>
      <c r="D56" s="1"/>
      <c r="E56" s="1"/>
      <c r="F56" s="1"/>
      <c r="G56" s="1"/>
      <c r="H56" s="51">
        <v>0.9377920899858266</v>
      </c>
      <c r="I56" s="1"/>
      <c r="J56" s="1"/>
      <c r="K56" s="1"/>
      <c r="L56" s="1"/>
      <c r="M56" s="1"/>
      <c r="N56" s="51">
        <v>0.9387865222129681</v>
      </c>
      <c r="O56" s="1"/>
      <c r="P56" s="1"/>
      <c r="Q56" s="1"/>
      <c r="R56" s="1"/>
      <c r="S56" s="1"/>
      <c r="T56" s="51">
        <v>0.9411046460892363</v>
      </c>
      <c r="U56" s="1"/>
      <c r="V56" s="1"/>
      <c r="W56" s="1"/>
      <c r="X56" s="1"/>
      <c r="Y56" s="1"/>
      <c r="Z56" s="51">
        <v>0.9434422633390509</v>
      </c>
      <c r="AA56" s="1"/>
      <c r="AB56" s="1"/>
      <c r="AC56" s="1"/>
      <c r="AD56" s="1"/>
      <c r="AE56" s="1"/>
      <c r="AF56" s="51">
        <v>0.9458892669221092</v>
      </c>
      <c r="AG56" s="1"/>
      <c r="AH56" s="1"/>
      <c r="AI56" s="1"/>
      <c r="AJ56" s="1"/>
      <c r="AK56" s="1"/>
      <c r="AL56" s="51">
        <v>0.9484189160289747</v>
      </c>
      <c r="AM56" s="1"/>
      <c r="AN56" s="1"/>
      <c r="AO56" s="1"/>
      <c r="AP56" s="1"/>
      <c r="AQ56" s="1"/>
      <c r="AR56" s="51">
        <v>0.9509949731539485</v>
      </c>
      <c r="AS56" s="1"/>
      <c r="AT56" s="1"/>
      <c r="AU56" s="1"/>
      <c r="AV56" s="1"/>
      <c r="AW56" s="1"/>
      <c r="AX56" s="51">
        <v>0.9535694741273918</v>
      </c>
      <c r="AY56" s="1"/>
      <c r="AZ56" s="1"/>
      <c r="BA56" s="1"/>
      <c r="BB56" s="1"/>
      <c r="BC56" s="1"/>
      <c r="BD56" s="51">
        <v>0.9561148180035846</v>
      </c>
      <c r="BJ56" s="53">
        <v>0.9337566008951159</v>
      </c>
      <c r="BL56" s="16" t="s">
        <v>43</v>
      </c>
    </row>
    <row r="57" spans="1:64" ht="12.75">
      <c r="A57" s="16" t="s">
        <v>44</v>
      </c>
      <c r="B57" s="51">
        <v>0.9088510739124294</v>
      </c>
      <c r="C57" s="1"/>
      <c r="D57" s="1"/>
      <c r="E57" s="1"/>
      <c r="F57" s="1"/>
      <c r="G57" s="1"/>
      <c r="H57" s="51">
        <v>0.913529050937169</v>
      </c>
      <c r="I57" s="1"/>
      <c r="J57" s="1"/>
      <c r="K57" s="1"/>
      <c r="L57" s="1"/>
      <c r="M57" s="1"/>
      <c r="N57" s="51">
        <v>0.9146971308936932</v>
      </c>
      <c r="O57" s="1"/>
      <c r="P57" s="1"/>
      <c r="Q57" s="1"/>
      <c r="R57" s="1"/>
      <c r="S57" s="1"/>
      <c r="T57" s="51">
        <v>0.917432459429506</v>
      </c>
      <c r="U57" s="1"/>
      <c r="V57" s="1"/>
      <c r="W57" s="1"/>
      <c r="X57" s="1"/>
      <c r="Y57" s="1"/>
      <c r="Z57" s="51">
        <v>0.920209011405225</v>
      </c>
      <c r="AA57" s="1"/>
      <c r="AB57" s="1"/>
      <c r="AC57" s="1"/>
      <c r="AD57" s="1"/>
      <c r="AE57" s="1"/>
      <c r="AF57" s="51">
        <v>0.9231360027234848</v>
      </c>
      <c r="AG57" s="1"/>
      <c r="AH57" s="1"/>
      <c r="AI57" s="1"/>
      <c r="AJ57" s="1"/>
      <c r="AK57" s="1"/>
      <c r="AL57" s="51">
        <v>0.926185009493447</v>
      </c>
      <c r="AM57" s="1"/>
      <c r="AN57" s="1"/>
      <c r="AO57" s="1"/>
      <c r="AP57" s="1"/>
      <c r="AQ57" s="1"/>
      <c r="AR57" s="51">
        <v>0.9293154528211665</v>
      </c>
      <c r="AS57" s="1"/>
      <c r="AT57" s="1"/>
      <c r="AU57" s="1"/>
      <c r="AV57" s="1"/>
      <c r="AW57" s="1"/>
      <c r="AX57" s="51">
        <v>0.9324711950820225</v>
      </c>
      <c r="AY57" s="1"/>
      <c r="AZ57" s="1"/>
      <c r="BA57" s="1"/>
      <c r="BB57" s="1"/>
      <c r="BC57" s="1"/>
      <c r="BD57" s="51">
        <v>0.9356195433498649</v>
      </c>
      <c r="BJ57" s="53">
        <v>0.9088202960094582</v>
      </c>
      <c r="BL57" s="16" t="s">
        <v>44</v>
      </c>
    </row>
    <row r="58" spans="1:64" ht="12.75">
      <c r="A58" s="16" t="s">
        <v>45</v>
      </c>
      <c r="B58" s="51">
        <v>0.8769974870675779</v>
      </c>
      <c r="C58" s="1"/>
      <c r="D58" s="1"/>
      <c r="E58" s="1"/>
      <c r="F58" s="1"/>
      <c r="G58" s="1"/>
      <c r="H58" s="51">
        <v>0.8822205809643962</v>
      </c>
      <c r="I58" s="1"/>
      <c r="J58" s="1"/>
      <c r="K58" s="1"/>
      <c r="L58" s="1"/>
      <c r="M58" s="1"/>
      <c r="N58" s="51">
        <v>0.8835330880787827</v>
      </c>
      <c r="O58" s="1"/>
      <c r="P58" s="1"/>
      <c r="Q58" s="1"/>
      <c r="R58" s="1"/>
      <c r="S58" s="1"/>
      <c r="T58" s="51">
        <v>0.8866201261393124</v>
      </c>
      <c r="U58" s="1"/>
      <c r="V58" s="1"/>
      <c r="W58" s="1"/>
      <c r="X58" s="1"/>
      <c r="Y58" s="1"/>
      <c r="Z58" s="51">
        <v>0.8897736384365047</v>
      </c>
      <c r="AA58" s="1"/>
      <c r="AB58" s="1"/>
      <c r="AC58" s="1"/>
      <c r="AD58" s="1"/>
      <c r="AE58" s="1"/>
      <c r="AF58" s="51">
        <v>0.8931206549173694</v>
      </c>
      <c r="AG58" s="1"/>
      <c r="AH58" s="1"/>
      <c r="AI58" s="1"/>
      <c r="AJ58" s="1"/>
      <c r="AK58" s="1"/>
      <c r="AL58" s="51">
        <v>0.8966329766037006</v>
      </c>
      <c r="AM58" s="1"/>
      <c r="AN58" s="1"/>
      <c r="AO58" s="1"/>
      <c r="AP58" s="1"/>
      <c r="AQ58" s="1"/>
      <c r="AR58" s="51">
        <v>0.900267758838868</v>
      </c>
      <c r="AS58" s="1"/>
      <c r="AT58" s="1"/>
      <c r="AU58" s="1"/>
      <c r="AV58" s="1"/>
      <c r="AW58" s="1"/>
      <c r="AX58" s="51">
        <v>0.9039627596519776</v>
      </c>
      <c r="AY58" s="1"/>
      <c r="AZ58" s="1"/>
      <c r="BA58" s="1"/>
      <c r="BB58" s="1"/>
      <c r="BC58" s="1"/>
      <c r="BD58" s="51">
        <v>0.9076815830845445</v>
      </c>
      <c r="BJ58" s="53">
        <v>0.876963294647985</v>
      </c>
      <c r="BL58" s="16" t="s">
        <v>45</v>
      </c>
    </row>
    <row r="59" spans="1:64" ht="12.75">
      <c r="A59" s="16" t="s">
        <v>46</v>
      </c>
      <c r="B59" s="51">
        <v>0.836342126924095</v>
      </c>
      <c r="C59" s="1"/>
      <c r="D59" s="1"/>
      <c r="E59" s="1"/>
      <c r="F59" s="1"/>
      <c r="G59" s="1"/>
      <c r="H59" s="51">
        <v>0.8420617132821006</v>
      </c>
      <c r="I59" s="1"/>
      <c r="J59" s="1"/>
      <c r="K59" s="1"/>
      <c r="L59" s="1"/>
      <c r="M59" s="1"/>
      <c r="N59" s="51">
        <v>0.8435070894670004</v>
      </c>
      <c r="O59" s="1"/>
      <c r="P59" s="1"/>
      <c r="Q59" s="1"/>
      <c r="R59" s="1"/>
      <c r="S59" s="1"/>
      <c r="T59" s="51">
        <v>0.8469198679205191</v>
      </c>
      <c r="U59" s="1"/>
      <c r="V59" s="1"/>
      <c r="W59" s="1"/>
      <c r="X59" s="1"/>
      <c r="Y59" s="1"/>
      <c r="Z59" s="51">
        <v>0.8504257808892793</v>
      </c>
      <c r="AA59" s="1"/>
      <c r="AB59" s="1"/>
      <c r="AC59" s="1"/>
      <c r="AD59" s="1"/>
      <c r="AE59" s="1"/>
      <c r="AF59" s="51">
        <v>0.8541692418206844</v>
      </c>
      <c r="AG59" s="1"/>
      <c r="AH59" s="1"/>
      <c r="AI59" s="1"/>
      <c r="AJ59" s="1"/>
      <c r="AK59" s="1"/>
      <c r="AL59" s="51">
        <v>0.8581232718190162</v>
      </c>
      <c r="AM59" s="1"/>
      <c r="AN59" s="1"/>
      <c r="AO59" s="1"/>
      <c r="AP59" s="1"/>
      <c r="AQ59" s="1"/>
      <c r="AR59" s="51">
        <v>0.8622438902549435</v>
      </c>
      <c r="AS59" s="1"/>
      <c r="AT59" s="1"/>
      <c r="AU59" s="1"/>
      <c r="AV59" s="1"/>
      <c r="AW59" s="1"/>
      <c r="AX59" s="51">
        <v>0.8664639164528857</v>
      </c>
      <c r="AY59" s="1"/>
      <c r="AZ59" s="1"/>
      <c r="BA59" s="1"/>
      <c r="BB59" s="1"/>
      <c r="BC59" s="1"/>
      <c r="BD59" s="51">
        <v>0.8707441780572883</v>
      </c>
      <c r="BJ59" s="53">
        <v>0.8363048506954778</v>
      </c>
      <c r="BL59" s="16" t="s">
        <v>46</v>
      </c>
    </row>
    <row r="60" spans="1:64" ht="12.75">
      <c r="A60" s="16" t="s">
        <v>47</v>
      </c>
      <c r="B60" s="51">
        <v>0.7826247064956006</v>
      </c>
      <c r="C60" s="1"/>
      <c r="D60" s="1"/>
      <c r="E60" s="1"/>
      <c r="F60" s="1"/>
      <c r="G60" s="1"/>
      <c r="H60" s="51">
        <v>0.7890052006839121</v>
      </c>
      <c r="I60" s="1"/>
      <c r="J60" s="1"/>
      <c r="K60" s="1"/>
      <c r="L60" s="1"/>
      <c r="M60" s="1"/>
      <c r="N60" s="51">
        <v>0.790625236697641</v>
      </c>
      <c r="O60" s="1"/>
      <c r="P60" s="1"/>
      <c r="Q60" s="1"/>
      <c r="R60" s="1"/>
      <c r="S60" s="1"/>
      <c r="T60" s="51">
        <v>0.7944629182255278</v>
      </c>
      <c r="U60" s="1"/>
      <c r="V60" s="1"/>
      <c r="W60" s="1"/>
      <c r="X60" s="1"/>
      <c r="Y60" s="1"/>
      <c r="Z60" s="51">
        <v>0.7984239366947432</v>
      </c>
      <c r="AA60" s="1"/>
      <c r="AB60" s="1"/>
      <c r="AC60" s="1"/>
      <c r="AD60" s="1"/>
      <c r="AE60" s="1"/>
      <c r="AF60" s="51">
        <v>0.8026746246754366</v>
      </c>
      <c r="AG60" s="1"/>
      <c r="AH60" s="1"/>
      <c r="AI60" s="1"/>
      <c r="AJ60" s="1"/>
      <c r="AK60" s="1"/>
      <c r="AL60" s="51">
        <v>0.8071888613000772</v>
      </c>
      <c r="AM60" s="1"/>
      <c r="AN60" s="1"/>
      <c r="AO60" s="1"/>
      <c r="AP60" s="1"/>
      <c r="AQ60" s="1"/>
      <c r="AR60" s="51">
        <v>0.81192071068399</v>
      </c>
      <c r="AS60" s="1"/>
      <c r="AT60" s="1"/>
      <c r="AU60" s="1"/>
      <c r="AV60" s="1"/>
      <c r="AW60" s="1"/>
      <c r="AX60" s="51">
        <v>0.8167965269153582</v>
      </c>
      <c r="AY60" s="1"/>
      <c r="AZ60" s="1"/>
      <c r="BA60" s="1"/>
      <c r="BB60" s="1"/>
      <c r="BC60" s="1"/>
      <c r="BD60" s="51">
        <v>0.8217736575435031</v>
      </c>
      <c r="BJ60" s="53">
        <v>0.7825832790805748</v>
      </c>
      <c r="BL60" s="16" t="s">
        <v>47</v>
      </c>
    </row>
    <row r="61" spans="1:64" ht="12.75">
      <c r="A61" s="16" t="s">
        <v>48</v>
      </c>
      <c r="B61" s="51">
        <v>0.7178228883252932</v>
      </c>
      <c r="C61" s="1"/>
      <c r="D61" s="1"/>
      <c r="E61" s="1"/>
      <c r="F61" s="1"/>
      <c r="G61" s="1"/>
      <c r="H61" s="51">
        <v>0.7249032070048178</v>
      </c>
      <c r="I61" s="1"/>
      <c r="J61" s="1"/>
      <c r="K61" s="1"/>
      <c r="L61" s="1"/>
      <c r="M61" s="1"/>
      <c r="N61" s="51">
        <v>0.7267078075658577</v>
      </c>
      <c r="O61" s="1"/>
      <c r="P61" s="1"/>
      <c r="Q61" s="1"/>
      <c r="R61" s="1"/>
      <c r="S61" s="1"/>
      <c r="T61" s="51">
        <v>0.7309939942815783</v>
      </c>
      <c r="U61" s="1"/>
      <c r="V61" s="1"/>
      <c r="W61" s="1"/>
      <c r="X61" s="1"/>
      <c r="Y61" s="1"/>
      <c r="Z61" s="51">
        <v>0.7354348065671883</v>
      </c>
      <c r="AA61" s="1"/>
      <c r="AB61" s="1"/>
      <c r="AC61" s="1"/>
      <c r="AD61" s="1"/>
      <c r="AE61" s="1"/>
      <c r="AF61" s="51">
        <v>0.7402197688007284</v>
      </c>
      <c r="AG61" s="1"/>
      <c r="AH61" s="1"/>
      <c r="AI61" s="1"/>
      <c r="AJ61" s="1"/>
      <c r="AK61" s="1"/>
      <c r="AL61" s="51">
        <v>0.7453237915698477</v>
      </c>
      <c r="AM61" s="1"/>
      <c r="AN61" s="1"/>
      <c r="AO61" s="1"/>
      <c r="AP61" s="1"/>
      <c r="AQ61" s="1"/>
      <c r="AR61" s="51">
        <v>0.7506991018189924</v>
      </c>
      <c r="AS61" s="1"/>
      <c r="AT61" s="1"/>
      <c r="AU61" s="1"/>
      <c r="AV61" s="1"/>
      <c r="AW61" s="1"/>
      <c r="AX61" s="51">
        <v>0.7562655559389354</v>
      </c>
      <c r="AY61" s="1"/>
      <c r="AZ61" s="1"/>
      <c r="BA61" s="1"/>
      <c r="BB61" s="1"/>
      <c r="BC61" s="1"/>
      <c r="BD61" s="51">
        <v>0.7619772109917802</v>
      </c>
      <c r="BJ61" s="53">
        <v>0.7177770566831768</v>
      </c>
      <c r="BL61" s="16" t="s">
        <v>48</v>
      </c>
    </row>
    <row r="62" spans="1:64" ht="12.75">
      <c r="A62" s="16" t="s">
        <v>49</v>
      </c>
      <c r="B62" s="51">
        <v>0.6429715454427479</v>
      </c>
      <c r="C62" s="1"/>
      <c r="D62" s="1"/>
      <c r="E62" s="1"/>
      <c r="F62" s="1"/>
      <c r="G62" s="1"/>
      <c r="H62" s="51">
        <v>0.6503612623019756</v>
      </c>
      <c r="I62" s="1"/>
      <c r="J62" s="1"/>
      <c r="K62" s="1"/>
      <c r="L62" s="1"/>
      <c r="M62" s="1"/>
      <c r="N62" s="51">
        <v>0.6522516793429262</v>
      </c>
      <c r="O62" s="1"/>
      <c r="P62" s="1"/>
      <c r="Q62" s="1"/>
      <c r="R62" s="1"/>
      <c r="S62" s="1"/>
      <c r="T62" s="51">
        <v>0.6567532163947559</v>
      </c>
      <c r="U62" s="1"/>
      <c r="V62" s="1"/>
      <c r="W62" s="1"/>
      <c r="X62" s="1"/>
      <c r="Y62" s="1"/>
      <c r="Z62" s="51">
        <v>0.6614344917380067</v>
      </c>
      <c r="AA62" s="1"/>
      <c r="AB62" s="1"/>
      <c r="AC62" s="1"/>
      <c r="AD62" s="1"/>
      <c r="AE62" s="1"/>
      <c r="AF62" s="51">
        <v>0.6664986626197588</v>
      </c>
      <c r="AG62" s="1"/>
      <c r="AH62" s="1"/>
      <c r="AI62" s="1"/>
      <c r="AJ62" s="1"/>
      <c r="AK62" s="1"/>
      <c r="AL62" s="51">
        <v>0.671923947697218</v>
      </c>
      <c r="AM62" s="1"/>
      <c r="AN62" s="1"/>
      <c r="AO62" s="1"/>
      <c r="AP62" s="1"/>
      <c r="AQ62" s="1"/>
      <c r="AR62" s="51">
        <v>0.6776642944360082</v>
      </c>
      <c r="AS62" s="1"/>
      <c r="AT62" s="1"/>
      <c r="AU62" s="1"/>
      <c r="AV62" s="1"/>
      <c r="AW62" s="1"/>
      <c r="AX62" s="51">
        <v>0.6836382729242845</v>
      </c>
      <c r="AY62" s="1"/>
      <c r="AZ62" s="1"/>
      <c r="BA62" s="1"/>
      <c r="BB62" s="1"/>
      <c r="BC62" s="1"/>
      <c r="BD62" s="51">
        <v>0.6898000185491701</v>
      </c>
      <c r="BJ62" s="53">
        <v>0.6429238511622883</v>
      </c>
      <c r="BL62" s="16" t="s">
        <v>49</v>
      </c>
    </row>
    <row r="63" spans="1:64" ht="12.75">
      <c r="A63" s="16" t="s">
        <v>50</v>
      </c>
      <c r="B63" s="51">
        <v>0.5437411031474864</v>
      </c>
      <c r="C63" s="1"/>
      <c r="D63" s="1"/>
      <c r="E63" s="1"/>
      <c r="F63" s="1"/>
      <c r="G63" s="1"/>
      <c r="H63" s="51">
        <v>0.5506779642842673</v>
      </c>
      <c r="I63" s="1"/>
      <c r="J63" s="1"/>
      <c r="K63" s="1"/>
      <c r="L63" s="1"/>
      <c r="M63" s="1"/>
      <c r="N63" s="51">
        <v>0.5524593582602764</v>
      </c>
      <c r="O63" s="1"/>
      <c r="P63" s="1"/>
      <c r="Q63" s="1"/>
      <c r="R63" s="1"/>
      <c r="S63" s="1"/>
      <c r="T63" s="51">
        <v>0.5567127118171934</v>
      </c>
      <c r="U63" s="1"/>
      <c r="V63" s="1"/>
      <c r="W63" s="1"/>
      <c r="X63" s="1"/>
      <c r="Y63" s="1"/>
      <c r="Z63" s="51">
        <v>0.5611532514317434</v>
      </c>
      <c r="AA63" s="1"/>
      <c r="AB63" s="1"/>
      <c r="AC63" s="1"/>
      <c r="AD63" s="1"/>
      <c r="AE63" s="1"/>
      <c r="AF63" s="51">
        <v>0.5659773561508399</v>
      </c>
      <c r="AG63" s="1"/>
      <c r="AH63" s="1"/>
      <c r="AI63" s="1"/>
      <c r="AJ63" s="1"/>
      <c r="AK63" s="1"/>
      <c r="AL63" s="51">
        <v>0.5711694802407056</v>
      </c>
      <c r="AM63" s="1"/>
      <c r="AN63" s="1"/>
      <c r="AO63" s="1"/>
      <c r="AP63" s="1"/>
      <c r="AQ63" s="1"/>
      <c r="AR63" s="51">
        <v>0.5766908624428148</v>
      </c>
      <c r="AS63" s="1"/>
      <c r="AT63" s="1"/>
      <c r="AU63" s="1"/>
      <c r="AV63" s="1"/>
      <c r="AW63" s="1"/>
      <c r="AX63" s="51">
        <v>0.5824680586539862</v>
      </c>
      <c r="AY63" s="1"/>
      <c r="AZ63" s="1"/>
      <c r="BA63" s="1"/>
      <c r="BB63" s="1"/>
      <c r="BC63" s="1"/>
      <c r="BD63" s="51">
        <v>0.5884609975527288</v>
      </c>
      <c r="BJ63" s="53">
        <v>0.5436964677665099</v>
      </c>
      <c r="BL63" s="16" t="s">
        <v>50</v>
      </c>
    </row>
    <row r="64" spans="1:64" ht="12.75">
      <c r="A64" s="13" t="s">
        <v>51</v>
      </c>
      <c r="B64" s="51">
        <v>0.35938223153448623</v>
      </c>
      <c r="C64" s="1"/>
      <c r="D64" s="1"/>
      <c r="E64" s="1"/>
      <c r="F64" s="1"/>
      <c r="G64" s="1"/>
      <c r="H64" s="51">
        <v>0.3634196129809467</v>
      </c>
      <c r="I64" s="1"/>
      <c r="J64" s="1"/>
      <c r="K64" s="1"/>
      <c r="L64" s="1"/>
      <c r="M64" s="1"/>
      <c r="N64" s="51">
        <v>0.3644573923496302</v>
      </c>
      <c r="O64" s="1"/>
      <c r="P64" s="1"/>
      <c r="Q64" s="1"/>
      <c r="R64" s="1"/>
      <c r="S64" s="1"/>
      <c r="T64" s="51">
        <v>0.36693697055220276</v>
      </c>
      <c r="U64" s="1"/>
      <c r="V64" s="1"/>
      <c r="W64" s="1"/>
      <c r="X64" s="1"/>
      <c r="Y64" s="1"/>
      <c r="Z64" s="51">
        <v>0.36952839224066264</v>
      </c>
      <c r="AA64" s="1"/>
      <c r="AB64" s="1"/>
      <c r="AC64" s="1"/>
      <c r="AD64" s="1"/>
      <c r="AE64" s="1"/>
      <c r="AF64" s="51">
        <v>0.3723470069264204</v>
      </c>
      <c r="AG64" s="1"/>
      <c r="AH64" s="1"/>
      <c r="AI64" s="1"/>
      <c r="AJ64" s="1"/>
      <c r="AK64" s="1"/>
      <c r="AL64" s="51">
        <v>0.37538480361818466</v>
      </c>
      <c r="AM64" s="1"/>
      <c r="AN64" s="1"/>
      <c r="AO64" s="1"/>
      <c r="AP64" s="1"/>
      <c r="AQ64" s="1"/>
      <c r="AR64" s="51">
        <v>0.3786202916856939</v>
      </c>
      <c r="AS64" s="1"/>
      <c r="AT64" s="1"/>
      <c r="AU64" s="1"/>
      <c r="AV64" s="1"/>
      <c r="AW64" s="1"/>
      <c r="AX64" s="51">
        <v>0.3820116434246679</v>
      </c>
      <c r="AY64" s="1"/>
      <c r="AZ64" s="1"/>
      <c r="BA64" s="1"/>
      <c r="BB64" s="1"/>
      <c r="BC64" s="1"/>
      <c r="BD64" s="51">
        <v>0.3855365300984748</v>
      </c>
      <c r="BJ64" s="53">
        <v>0.3593562716104823</v>
      </c>
      <c r="BL64" s="13" t="s">
        <v>51</v>
      </c>
    </row>
    <row r="65" spans="1:64" ht="12.75">
      <c r="A65" s="13" t="s">
        <v>67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J65" s="47"/>
      <c r="BL65" s="13" t="s">
        <v>67</v>
      </c>
    </row>
    <row r="66" spans="1:64" ht="12.75">
      <c r="A66" s="6" t="s">
        <v>16</v>
      </c>
      <c r="B66" s="51">
        <v>0.985791195739053</v>
      </c>
      <c r="C66" s="1"/>
      <c r="D66" s="1"/>
      <c r="E66" s="1"/>
      <c r="F66" s="1"/>
      <c r="G66" s="1"/>
      <c r="H66" s="51">
        <v>0.9875313053005785</v>
      </c>
      <c r="I66" s="1"/>
      <c r="J66" s="1"/>
      <c r="K66" s="1"/>
      <c r="L66" s="1"/>
      <c r="M66" s="1"/>
      <c r="N66" s="51">
        <v>0.9892804936898152</v>
      </c>
      <c r="O66" s="1"/>
      <c r="P66" s="1"/>
      <c r="Q66" s="1"/>
      <c r="R66" s="1"/>
      <c r="S66" s="1"/>
      <c r="T66" s="51">
        <v>0.9910583590790377</v>
      </c>
      <c r="U66" s="1"/>
      <c r="V66" s="1"/>
      <c r="W66" s="1"/>
      <c r="X66" s="1"/>
      <c r="Y66" s="1"/>
      <c r="Z66" s="51">
        <v>0.9926891532658202</v>
      </c>
      <c r="AA66" s="1"/>
      <c r="AB66" s="1"/>
      <c r="AC66" s="1"/>
      <c r="AD66" s="1"/>
      <c r="AE66" s="1"/>
      <c r="AF66" s="51">
        <v>0.9939368198711694</v>
      </c>
      <c r="AG66" s="1"/>
      <c r="AH66" s="1"/>
      <c r="AI66" s="1"/>
      <c r="AJ66" s="1"/>
      <c r="AK66" s="1"/>
      <c r="AL66" s="51">
        <v>0.9948465985812824</v>
      </c>
      <c r="AM66" s="1"/>
      <c r="AN66" s="1"/>
      <c r="AO66" s="1"/>
      <c r="AP66" s="1"/>
      <c r="AQ66" s="1"/>
      <c r="AR66" s="51">
        <v>0.995484903475328</v>
      </c>
      <c r="AS66" s="1"/>
      <c r="AT66" s="1"/>
      <c r="AU66" s="1"/>
      <c r="AV66" s="1"/>
      <c r="AW66" s="1"/>
      <c r="AX66" s="51">
        <v>0.9959525471332397</v>
      </c>
      <c r="AY66" s="1"/>
      <c r="AZ66" s="1"/>
      <c r="BA66" s="1"/>
      <c r="BB66" s="1"/>
      <c r="BC66" s="1"/>
      <c r="BD66" s="51">
        <v>0.9963071666411739</v>
      </c>
      <c r="BJ66" s="53">
        <v>0.9843740074629477</v>
      </c>
      <c r="BL66" s="6" t="s">
        <v>16</v>
      </c>
    </row>
    <row r="67" spans="1:64" ht="12.75">
      <c r="A67" s="13" t="s">
        <v>21</v>
      </c>
      <c r="B67" s="51">
        <v>0.997251694897489</v>
      </c>
      <c r="C67" s="1"/>
      <c r="D67" s="1"/>
      <c r="E67" s="1"/>
      <c r="F67" s="1"/>
      <c r="G67" s="1"/>
      <c r="H67" s="51">
        <v>0.9975049928364011</v>
      </c>
      <c r="I67" s="1"/>
      <c r="J67" s="1"/>
      <c r="K67" s="1"/>
      <c r="L67" s="1"/>
      <c r="M67" s="1"/>
      <c r="N67" s="51">
        <v>0.9977510089027911</v>
      </c>
      <c r="O67" s="1"/>
      <c r="P67" s="1"/>
      <c r="Q67" s="1"/>
      <c r="R67" s="1"/>
      <c r="S67" s="1"/>
      <c r="T67" s="51">
        <v>0.9980545017431014</v>
      </c>
      <c r="U67" s="1"/>
      <c r="V67" s="1"/>
      <c r="W67" s="1"/>
      <c r="X67" s="1"/>
      <c r="Y67" s="1"/>
      <c r="Z67" s="51">
        <v>0.9983376445163201</v>
      </c>
      <c r="AA67" s="1"/>
      <c r="AB67" s="1"/>
      <c r="AC67" s="1"/>
      <c r="AD67" s="1"/>
      <c r="AE67" s="1"/>
      <c r="AF67" s="51">
        <v>0.998570673152559</v>
      </c>
      <c r="AG67" s="1"/>
      <c r="AH67" s="1"/>
      <c r="AI67" s="1"/>
      <c r="AJ67" s="1"/>
      <c r="AK67" s="1"/>
      <c r="AL67" s="51">
        <v>0.9987566294003976</v>
      </c>
      <c r="AM67" s="1"/>
      <c r="AN67" s="1"/>
      <c r="AO67" s="1"/>
      <c r="AP67" s="1"/>
      <c r="AQ67" s="1"/>
      <c r="AR67" s="51">
        <v>0.9989022523522574</v>
      </c>
      <c r="AS67" s="1"/>
      <c r="AT67" s="1"/>
      <c r="AU67" s="1"/>
      <c r="AV67" s="1"/>
      <c r="AW67" s="1"/>
      <c r="AX67" s="51">
        <v>0.999020307345687</v>
      </c>
      <c r="AY67" s="1"/>
      <c r="AZ67" s="1"/>
      <c r="BA67" s="1"/>
      <c r="BB67" s="1"/>
      <c r="BC67" s="1"/>
      <c r="BD67" s="51">
        <v>0.9991186446211465</v>
      </c>
      <c r="BJ67" s="53">
        <v>0.996972728931736</v>
      </c>
      <c r="BL67" s="13" t="s">
        <v>21</v>
      </c>
    </row>
    <row r="68" spans="1:64" ht="12.75">
      <c r="A68" s="16" t="s">
        <v>33</v>
      </c>
      <c r="B68" s="51">
        <v>0.9984549642450903</v>
      </c>
      <c r="C68" s="1"/>
      <c r="D68" s="1"/>
      <c r="E68" s="1"/>
      <c r="F68" s="1"/>
      <c r="G68" s="1"/>
      <c r="H68" s="51">
        <v>0.9985197865593154</v>
      </c>
      <c r="I68" s="1"/>
      <c r="J68" s="1"/>
      <c r="K68" s="1"/>
      <c r="L68" s="1"/>
      <c r="M68" s="1"/>
      <c r="N68" s="51">
        <v>0.9985718922563951</v>
      </c>
      <c r="O68" s="1"/>
      <c r="P68" s="1"/>
      <c r="Q68" s="1"/>
      <c r="R68" s="1"/>
      <c r="S68" s="1"/>
      <c r="T68" s="51">
        <v>0.9986974554251745</v>
      </c>
      <c r="U68" s="1"/>
      <c r="V68" s="1"/>
      <c r="W68" s="1"/>
      <c r="X68" s="1"/>
      <c r="Y68" s="1"/>
      <c r="Z68" s="51">
        <v>0.9988191699907736</v>
      </c>
      <c r="AA68" s="1"/>
      <c r="AB68" s="1"/>
      <c r="AC68" s="1"/>
      <c r="AD68" s="1"/>
      <c r="AE68" s="1"/>
      <c r="AF68" s="51">
        <v>0.9989358830477696</v>
      </c>
      <c r="AG68" s="1"/>
      <c r="AH68" s="1"/>
      <c r="AI68" s="1"/>
      <c r="AJ68" s="1"/>
      <c r="AK68" s="1"/>
      <c r="AL68" s="51">
        <v>0.9990456467624027</v>
      </c>
      <c r="AM68" s="1"/>
      <c r="AN68" s="1"/>
      <c r="AO68" s="1"/>
      <c r="AP68" s="1"/>
      <c r="AQ68" s="1"/>
      <c r="AR68" s="51">
        <v>0.9991472241951704</v>
      </c>
      <c r="AS68" s="1"/>
      <c r="AT68" s="1"/>
      <c r="AU68" s="1"/>
      <c r="AV68" s="1"/>
      <c r="AW68" s="1"/>
      <c r="AX68" s="51">
        <v>0.9992405922807416</v>
      </c>
      <c r="AY68" s="1"/>
      <c r="AZ68" s="1"/>
      <c r="BA68" s="1"/>
      <c r="BB68" s="1"/>
      <c r="BC68" s="1"/>
      <c r="BD68" s="51">
        <v>0.999326080950841</v>
      </c>
      <c r="BJ68" s="53">
        <v>0.9983082287261116</v>
      </c>
      <c r="BL68" s="16" t="s">
        <v>33</v>
      </c>
    </row>
    <row r="69" spans="1:64" ht="12.75">
      <c r="A69" s="16" t="s">
        <v>37</v>
      </c>
      <c r="B69" s="51">
        <v>0.9974582668863261</v>
      </c>
      <c r="C69" s="1"/>
      <c r="D69" s="1"/>
      <c r="E69" s="1"/>
      <c r="F69" s="1"/>
      <c r="G69" s="1"/>
      <c r="H69" s="51">
        <v>0.9975327093919041</v>
      </c>
      <c r="I69" s="1"/>
      <c r="J69" s="1"/>
      <c r="K69" s="1"/>
      <c r="L69" s="1"/>
      <c r="M69" s="1"/>
      <c r="N69" s="51">
        <v>0.9975787212363509</v>
      </c>
      <c r="O69" s="1"/>
      <c r="P69" s="1"/>
      <c r="Q69" s="1"/>
      <c r="R69" s="1"/>
      <c r="S69" s="1"/>
      <c r="T69" s="51">
        <v>0.9977649436607661</v>
      </c>
      <c r="U69" s="1"/>
      <c r="V69" s="1"/>
      <c r="W69" s="1"/>
      <c r="X69" s="1"/>
      <c r="Y69" s="1"/>
      <c r="Z69" s="51">
        <v>0.9979460804868021</v>
      </c>
      <c r="AA69" s="1"/>
      <c r="AB69" s="1"/>
      <c r="AC69" s="1"/>
      <c r="AD69" s="1"/>
      <c r="AE69" s="1"/>
      <c r="AF69" s="51">
        <v>0.9981298412686929</v>
      </c>
      <c r="AG69" s="1"/>
      <c r="AH69" s="1"/>
      <c r="AI69" s="1"/>
      <c r="AJ69" s="1"/>
      <c r="AK69" s="1"/>
      <c r="AL69" s="51">
        <v>0.9983128252080515</v>
      </c>
      <c r="AM69" s="1"/>
      <c r="AN69" s="1"/>
      <c r="AO69" s="1"/>
      <c r="AP69" s="1"/>
      <c r="AQ69" s="1"/>
      <c r="AR69" s="51">
        <v>0.9984912009379918</v>
      </c>
      <c r="AS69" s="1"/>
      <c r="AT69" s="1"/>
      <c r="AU69" s="1"/>
      <c r="AV69" s="1"/>
      <c r="AW69" s="1"/>
      <c r="AX69" s="51">
        <v>0.9986607228940706</v>
      </c>
      <c r="AY69" s="1"/>
      <c r="AZ69" s="1"/>
      <c r="BA69" s="1"/>
      <c r="BB69" s="1"/>
      <c r="BC69" s="1"/>
      <c r="BD69" s="51">
        <v>0.9988192320874429</v>
      </c>
      <c r="BJ69" s="53">
        <v>0.9972150001439423</v>
      </c>
      <c r="BL69" s="16" t="s">
        <v>37</v>
      </c>
    </row>
    <row r="70" spans="1:64" ht="12.75">
      <c r="A70" s="16" t="s">
        <v>38</v>
      </c>
      <c r="B70" s="51">
        <v>0.9957640269233843</v>
      </c>
      <c r="C70" s="1"/>
      <c r="D70" s="1"/>
      <c r="E70" s="1"/>
      <c r="F70" s="1"/>
      <c r="G70" s="1"/>
      <c r="H70" s="51">
        <v>0.9958900951036265</v>
      </c>
      <c r="I70" s="1"/>
      <c r="J70" s="1"/>
      <c r="K70" s="1"/>
      <c r="L70" s="1"/>
      <c r="M70" s="1"/>
      <c r="N70" s="51">
        <v>0.9959679879011498</v>
      </c>
      <c r="O70" s="1"/>
      <c r="P70" s="1"/>
      <c r="Q70" s="1"/>
      <c r="R70" s="1"/>
      <c r="S70" s="1"/>
      <c r="T70" s="51">
        <v>0.9962830104265529</v>
      </c>
      <c r="U70" s="1"/>
      <c r="V70" s="1"/>
      <c r="W70" s="1"/>
      <c r="X70" s="1"/>
      <c r="Y70" s="1"/>
      <c r="Z70" s="51">
        <v>0.9965890489804611</v>
      </c>
      <c r="AA70" s="1"/>
      <c r="AB70" s="1"/>
      <c r="AC70" s="1"/>
      <c r="AD70" s="1"/>
      <c r="AE70" s="1"/>
      <c r="AF70" s="51">
        <v>0.9968990971226727</v>
      </c>
      <c r="AG70" s="1"/>
      <c r="AH70" s="1"/>
      <c r="AI70" s="1"/>
      <c r="AJ70" s="1"/>
      <c r="AK70" s="1"/>
      <c r="AL70" s="51">
        <v>0.9972073630739323</v>
      </c>
      <c r="AM70" s="1"/>
      <c r="AN70" s="1"/>
      <c r="AO70" s="1"/>
      <c r="AP70" s="1"/>
      <c r="AQ70" s="1"/>
      <c r="AR70" s="51">
        <v>0.9975073578020466</v>
      </c>
      <c r="AS70" s="1"/>
      <c r="AT70" s="1"/>
      <c r="AU70" s="1"/>
      <c r="AV70" s="1"/>
      <c r="AW70" s="1"/>
      <c r="AX70" s="51">
        <v>0.9977919366482821</v>
      </c>
      <c r="AY70" s="1"/>
      <c r="AZ70" s="1"/>
      <c r="BA70" s="1"/>
      <c r="BB70" s="1"/>
      <c r="BC70" s="1"/>
      <c r="BD70" s="51">
        <v>0.9980575007249474</v>
      </c>
      <c r="BJ70" s="53">
        <v>0.9953516843212586</v>
      </c>
      <c r="BL70" s="16" t="s">
        <v>38</v>
      </c>
    </row>
    <row r="71" spans="1:64" ht="12.75">
      <c r="A71" s="16" t="s">
        <v>39</v>
      </c>
      <c r="B71" s="51">
        <v>0.9947298366567429</v>
      </c>
      <c r="C71" s="1"/>
      <c r="D71" s="1"/>
      <c r="E71" s="1"/>
      <c r="F71" s="1"/>
      <c r="G71" s="1"/>
      <c r="H71" s="51">
        <v>0.994882473690266</v>
      </c>
      <c r="I71" s="1"/>
      <c r="J71" s="1"/>
      <c r="K71" s="1"/>
      <c r="L71" s="1"/>
      <c r="M71" s="1"/>
      <c r="N71" s="51">
        <v>0.9949768454874814</v>
      </c>
      <c r="O71" s="1"/>
      <c r="P71" s="1"/>
      <c r="Q71" s="1"/>
      <c r="R71" s="1"/>
      <c r="S71" s="1"/>
      <c r="T71" s="51">
        <v>0.995359027960569</v>
      </c>
      <c r="U71" s="1"/>
      <c r="V71" s="1"/>
      <c r="W71" s="1"/>
      <c r="X71" s="1"/>
      <c r="Y71" s="1"/>
      <c r="Z71" s="51">
        <v>0.9957311512106879</v>
      </c>
      <c r="AA71" s="1"/>
      <c r="AB71" s="1"/>
      <c r="AC71" s="1"/>
      <c r="AD71" s="1"/>
      <c r="AE71" s="1"/>
      <c r="AF71" s="51">
        <v>0.9961090729559914</v>
      </c>
      <c r="AG71" s="1"/>
      <c r="AH71" s="1"/>
      <c r="AI71" s="1"/>
      <c r="AJ71" s="1"/>
      <c r="AK71" s="1"/>
      <c r="AL71" s="51">
        <v>0.9964858376225754</v>
      </c>
      <c r="AM71" s="1"/>
      <c r="AN71" s="1"/>
      <c r="AO71" s="1"/>
      <c r="AP71" s="1"/>
      <c r="AQ71" s="1"/>
      <c r="AR71" s="51">
        <v>0.9968535748161236</v>
      </c>
      <c r="AS71" s="1"/>
      <c r="AT71" s="1"/>
      <c r="AU71" s="1"/>
      <c r="AV71" s="1"/>
      <c r="AW71" s="1"/>
      <c r="AX71" s="51">
        <v>0.9972035225025392</v>
      </c>
      <c r="AY71" s="1"/>
      <c r="AZ71" s="1"/>
      <c r="BA71" s="1"/>
      <c r="BB71" s="1"/>
      <c r="BC71" s="1"/>
      <c r="BD71" s="51">
        <v>0.9975311890174389</v>
      </c>
      <c r="BJ71" s="53">
        <v>0.9942314326210552</v>
      </c>
      <c r="BL71" s="16" t="s">
        <v>39</v>
      </c>
    </row>
    <row r="72" spans="1:64" ht="12.75">
      <c r="A72" s="16" t="s">
        <v>40</v>
      </c>
      <c r="B72" s="51">
        <v>0.9934952792241298</v>
      </c>
      <c r="C72" s="1"/>
      <c r="D72" s="1"/>
      <c r="E72" s="1"/>
      <c r="F72" s="1"/>
      <c r="G72" s="1"/>
      <c r="H72" s="51">
        <v>0.9936727568560532</v>
      </c>
      <c r="I72" s="1"/>
      <c r="J72" s="1"/>
      <c r="K72" s="1"/>
      <c r="L72" s="1"/>
      <c r="M72" s="1"/>
      <c r="N72" s="51">
        <v>0.9937826447057718</v>
      </c>
      <c r="O72" s="1"/>
      <c r="P72" s="1"/>
      <c r="Q72" s="1"/>
      <c r="R72" s="1"/>
      <c r="S72" s="1"/>
      <c r="T72" s="51">
        <v>0.9942289503295864</v>
      </c>
      <c r="U72" s="1"/>
      <c r="V72" s="1"/>
      <c r="W72" s="1"/>
      <c r="X72" s="1"/>
      <c r="Y72" s="1"/>
      <c r="Z72" s="51">
        <v>0.9946656190480525</v>
      </c>
      <c r="AA72" s="1"/>
      <c r="AB72" s="1"/>
      <c r="AC72" s="1"/>
      <c r="AD72" s="1"/>
      <c r="AE72" s="1"/>
      <c r="AF72" s="51">
        <v>0.9951114188302694</v>
      </c>
      <c r="AG72" s="1"/>
      <c r="AH72" s="1"/>
      <c r="AI72" s="1"/>
      <c r="AJ72" s="1"/>
      <c r="AK72" s="1"/>
      <c r="AL72" s="51">
        <v>0.995558422465462</v>
      </c>
      <c r="AM72" s="1"/>
      <c r="AN72" s="1"/>
      <c r="AO72" s="1"/>
      <c r="AP72" s="1"/>
      <c r="AQ72" s="1"/>
      <c r="AR72" s="51">
        <v>0.9959974634706306</v>
      </c>
      <c r="AS72" s="1"/>
      <c r="AT72" s="1"/>
      <c r="AU72" s="1"/>
      <c r="AV72" s="1"/>
      <c r="AW72" s="1"/>
      <c r="AX72" s="51">
        <v>0.9964180908733336</v>
      </c>
      <c r="AY72" s="1"/>
      <c r="AZ72" s="1"/>
      <c r="BA72" s="1"/>
      <c r="BB72" s="1"/>
      <c r="BC72" s="1"/>
      <c r="BD72" s="51">
        <v>0.9968147590148693</v>
      </c>
      <c r="BJ72" s="53">
        <v>0.9929178553667064</v>
      </c>
      <c r="BL72" s="16" t="s">
        <v>40</v>
      </c>
    </row>
    <row r="73" spans="1:64" ht="12.75">
      <c r="A73" s="16" t="s">
        <v>41</v>
      </c>
      <c r="B73" s="51">
        <v>0.9913634786758536</v>
      </c>
      <c r="C73" s="1"/>
      <c r="D73" s="1"/>
      <c r="E73" s="1"/>
      <c r="F73" s="1"/>
      <c r="G73" s="1"/>
      <c r="H73" s="51">
        <v>0.9915785509025185</v>
      </c>
      <c r="I73" s="1"/>
      <c r="J73" s="1"/>
      <c r="K73" s="1"/>
      <c r="L73" s="1"/>
      <c r="M73" s="1"/>
      <c r="N73" s="51">
        <v>0.9917119804271045</v>
      </c>
      <c r="O73" s="1"/>
      <c r="P73" s="1"/>
      <c r="Q73" s="1"/>
      <c r="R73" s="1"/>
      <c r="S73" s="1"/>
      <c r="T73" s="51">
        <v>0.9922560701195661</v>
      </c>
      <c r="U73" s="1"/>
      <c r="V73" s="1"/>
      <c r="W73" s="1"/>
      <c r="X73" s="1"/>
      <c r="Y73" s="1"/>
      <c r="Z73" s="51">
        <v>0.9927919962037274</v>
      </c>
      <c r="AA73" s="1"/>
      <c r="AB73" s="1"/>
      <c r="AC73" s="1"/>
      <c r="AD73" s="1"/>
      <c r="AE73" s="1"/>
      <c r="AF73" s="51">
        <v>0.9933431197992426</v>
      </c>
      <c r="AG73" s="1"/>
      <c r="AH73" s="1"/>
      <c r="AI73" s="1"/>
      <c r="AJ73" s="1"/>
      <c r="AK73" s="1"/>
      <c r="AL73" s="51">
        <v>0.9939001834700755</v>
      </c>
      <c r="AM73" s="1"/>
      <c r="AN73" s="1"/>
      <c r="AO73" s="1"/>
      <c r="AP73" s="1"/>
      <c r="AQ73" s="1"/>
      <c r="AR73" s="51">
        <v>0.9944521400242283</v>
      </c>
      <c r="AS73" s="1"/>
      <c r="AT73" s="1"/>
      <c r="AU73" s="1"/>
      <c r="AV73" s="1"/>
      <c r="AW73" s="1"/>
      <c r="AX73" s="51">
        <v>0.9949859591684901</v>
      </c>
      <c r="AY73" s="1"/>
      <c r="AZ73" s="1"/>
      <c r="BA73" s="1"/>
      <c r="BB73" s="1"/>
      <c r="BC73" s="1"/>
      <c r="BD73" s="51">
        <v>0.99549444221945</v>
      </c>
      <c r="BJ73" s="53">
        <v>0.9906672205344934</v>
      </c>
      <c r="BL73" s="16" t="s">
        <v>41</v>
      </c>
    </row>
    <row r="74" spans="1:64" ht="12.75">
      <c r="A74" s="16" t="s">
        <v>42</v>
      </c>
      <c r="B74" s="51">
        <v>0.9876883060728716</v>
      </c>
      <c r="C74" s="1"/>
      <c r="D74" s="1"/>
      <c r="E74" s="1"/>
      <c r="F74" s="1"/>
      <c r="G74" s="1"/>
      <c r="H74" s="51">
        <v>0.9879544120440291</v>
      </c>
      <c r="I74" s="1"/>
      <c r="J74" s="1"/>
      <c r="K74" s="1"/>
      <c r="L74" s="1"/>
      <c r="M74" s="1"/>
      <c r="N74" s="51">
        <v>0.9881199576983196</v>
      </c>
      <c r="O74" s="1"/>
      <c r="P74" s="1"/>
      <c r="Q74" s="1"/>
      <c r="R74" s="1"/>
      <c r="S74" s="1"/>
      <c r="T74" s="51">
        <v>0.9887987664787186</v>
      </c>
      <c r="U74" s="1"/>
      <c r="V74" s="1"/>
      <c r="W74" s="1"/>
      <c r="X74" s="1"/>
      <c r="Y74" s="1"/>
      <c r="Z74" s="51">
        <v>0.9894736442611562</v>
      </c>
      <c r="AA74" s="1"/>
      <c r="AB74" s="1"/>
      <c r="AC74" s="1"/>
      <c r="AD74" s="1"/>
      <c r="AE74" s="1"/>
      <c r="AF74" s="51">
        <v>0.990174689163428</v>
      </c>
      <c r="AG74" s="1"/>
      <c r="AH74" s="1"/>
      <c r="AI74" s="1"/>
      <c r="AJ74" s="1"/>
      <c r="AK74" s="1"/>
      <c r="AL74" s="51">
        <v>0.9908912128649322</v>
      </c>
      <c r="AM74" s="1"/>
      <c r="AN74" s="1"/>
      <c r="AO74" s="1"/>
      <c r="AP74" s="1"/>
      <c r="AQ74" s="1"/>
      <c r="AR74" s="51">
        <v>0.9916098359128431</v>
      </c>
      <c r="AS74" s="1"/>
      <c r="AT74" s="1"/>
      <c r="AU74" s="1"/>
      <c r="AV74" s="1"/>
      <c r="AW74" s="1"/>
      <c r="AX74" s="51">
        <v>0.9923139755683227</v>
      </c>
      <c r="AY74" s="1"/>
      <c r="AZ74" s="1"/>
      <c r="BA74" s="1"/>
      <c r="BB74" s="1"/>
      <c r="BC74" s="1"/>
      <c r="BD74" s="51">
        <v>0.9929940522606758</v>
      </c>
      <c r="BJ74" s="53">
        <v>0.9868327710439327</v>
      </c>
      <c r="BL74" s="16" t="s">
        <v>42</v>
      </c>
    </row>
    <row r="75" spans="1:64" ht="12.75">
      <c r="A75" s="16" t="s">
        <v>43</v>
      </c>
      <c r="B75" s="51">
        <v>0.981455090691334</v>
      </c>
      <c r="C75" s="1"/>
      <c r="D75" s="1"/>
      <c r="E75" s="1"/>
      <c r="F75" s="1"/>
      <c r="G75" s="1"/>
      <c r="H75" s="51">
        <v>0.9817981768714268</v>
      </c>
      <c r="I75" s="1"/>
      <c r="J75" s="1"/>
      <c r="K75" s="1"/>
      <c r="L75" s="1"/>
      <c r="M75" s="1"/>
      <c r="N75" s="51">
        <v>0.9820121894978237</v>
      </c>
      <c r="O75" s="1"/>
      <c r="P75" s="1"/>
      <c r="Q75" s="1"/>
      <c r="R75" s="1"/>
      <c r="S75" s="1"/>
      <c r="T75" s="51">
        <v>0.9828945273517643</v>
      </c>
      <c r="U75" s="1"/>
      <c r="V75" s="1"/>
      <c r="W75" s="1"/>
      <c r="X75" s="1"/>
      <c r="Y75" s="1"/>
      <c r="Z75" s="51">
        <v>0.9837797829103198</v>
      </c>
      <c r="AA75" s="1"/>
      <c r="AB75" s="1"/>
      <c r="AC75" s="1"/>
      <c r="AD75" s="1"/>
      <c r="AE75" s="1"/>
      <c r="AF75" s="51">
        <v>0.9847084524910801</v>
      </c>
      <c r="AG75" s="1"/>
      <c r="AH75" s="1"/>
      <c r="AI75" s="1"/>
      <c r="AJ75" s="1"/>
      <c r="AK75" s="1"/>
      <c r="AL75" s="51">
        <v>0.985667955984997</v>
      </c>
      <c r="AM75" s="1"/>
      <c r="AN75" s="1"/>
      <c r="AO75" s="1"/>
      <c r="AP75" s="1"/>
      <c r="AQ75" s="1"/>
      <c r="AR75" s="51">
        <v>0.9866416725983186</v>
      </c>
      <c r="AS75" s="1"/>
      <c r="AT75" s="1"/>
      <c r="AU75" s="1"/>
      <c r="AV75" s="1"/>
      <c r="AW75" s="1"/>
      <c r="AX75" s="51">
        <v>0.9876078890994496</v>
      </c>
      <c r="AY75" s="1"/>
      <c r="AZ75" s="1"/>
      <c r="BA75" s="1"/>
      <c r="BB75" s="1"/>
      <c r="BC75" s="1"/>
      <c r="BD75" s="51">
        <v>0.9885536369270801</v>
      </c>
      <c r="BJ75" s="53">
        <v>0.9803595237289889</v>
      </c>
      <c r="BL75" s="16" t="s">
        <v>43</v>
      </c>
    </row>
    <row r="76" spans="1:64" ht="12.75">
      <c r="A76" s="16" t="s">
        <v>44</v>
      </c>
      <c r="B76" s="51">
        <v>0.9720176289327227</v>
      </c>
      <c r="C76" s="1"/>
      <c r="D76" s="1"/>
      <c r="E76" s="1"/>
      <c r="F76" s="1"/>
      <c r="G76" s="1"/>
      <c r="H76" s="51">
        <v>0.972471231014334</v>
      </c>
      <c r="I76" s="1"/>
      <c r="J76" s="1"/>
      <c r="K76" s="1"/>
      <c r="L76" s="1"/>
      <c r="M76" s="1"/>
      <c r="N76" s="51">
        <v>0.972754761222483</v>
      </c>
      <c r="O76" s="1"/>
      <c r="P76" s="1"/>
      <c r="Q76" s="1"/>
      <c r="R76" s="1"/>
      <c r="S76" s="1"/>
      <c r="T76" s="51">
        <v>0.9739285414540172</v>
      </c>
      <c r="U76" s="1"/>
      <c r="V76" s="1"/>
      <c r="W76" s="1"/>
      <c r="X76" s="1"/>
      <c r="Y76" s="1"/>
      <c r="Z76" s="51">
        <v>0.9751143396668412</v>
      </c>
      <c r="AA76" s="1"/>
      <c r="AB76" s="1"/>
      <c r="AC76" s="1"/>
      <c r="AD76" s="1"/>
      <c r="AE76" s="1"/>
      <c r="AF76" s="51">
        <v>0.9763675601706097</v>
      </c>
      <c r="AG76" s="1"/>
      <c r="AH76" s="1"/>
      <c r="AI76" s="1"/>
      <c r="AJ76" s="1"/>
      <c r="AK76" s="1"/>
      <c r="AL76" s="51">
        <v>0.9776729934769546</v>
      </c>
      <c r="AM76" s="1"/>
      <c r="AN76" s="1"/>
      <c r="AO76" s="1"/>
      <c r="AP76" s="1"/>
      <c r="AQ76" s="1"/>
      <c r="AR76" s="51">
        <v>0.9790095528409014</v>
      </c>
      <c r="AS76" s="1"/>
      <c r="AT76" s="1"/>
      <c r="AU76" s="1"/>
      <c r="AV76" s="1"/>
      <c r="AW76" s="1"/>
      <c r="AX76" s="51">
        <v>0.9803484500102417</v>
      </c>
      <c r="AY76" s="1"/>
      <c r="AZ76" s="1"/>
      <c r="BA76" s="1"/>
      <c r="BB76" s="1"/>
      <c r="BC76" s="1"/>
      <c r="BD76" s="51">
        <v>0.9816721669739065</v>
      </c>
      <c r="BJ76" s="53">
        <v>0.9705765792567655</v>
      </c>
      <c r="BL76" s="16" t="s">
        <v>44</v>
      </c>
    </row>
    <row r="77" spans="1:64" ht="12.75">
      <c r="A77" s="16" t="s">
        <v>45</v>
      </c>
      <c r="B77" s="51">
        <v>0.958901017943441</v>
      </c>
      <c r="C77" s="1"/>
      <c r="D77" s="1"/>
      <c r="E77" s="1"/>
      <c r="F77" s="1"/>
      <c r="G77" s="1"/>
      <c r="H77" s="51">
        <v>0.9594962972339095</v>
      </c>
      <c r="I77" s="1"/>
      <c r="J77" s="1"/>
      <c r="K77" s="1"/>
      <c r="L77" s="1"/>
      <c r="M77" s="1"/>
      <c r="N77" s="51">
        <v>0.959868973126161</v>
      </c>
      <c r="O77" s="1"/>
      <c r="P77" s="1"/>
      <c r="Q77" s="1"/>
      <c r="R77" s="1"/>
      <c r="S77" s="1"/>
      <c r="T77" s="51">
        <v>0.9614167339573335</v>
      </c>
      <c r="U77" s="1"/>
      <c r="V77" s="1"/>
      <c r="W77" s="1"/>
      <c r="X77" s="1"/>
      <c r="Y77" s="1"/>
      <c r="Z77" s="51">
        <v>0.9629886735577193</v>
      </c>
      <c r="AA77" s="1"/>
      <c r="AB77" s="1"/>
      <c r="AC77" s="1"/>
      <c r="AD77" s="1"/>
      <c r="AE77" s="1"/>
      <c r="AF77" s="51">
        <v>0.9646595282297492</v>
      </c>
      <c r="AG77" s="1"/>
      <c r="AH77" s="1"/>
      <c r="AI77" s="1"/>
      <c r="AJ77" s="1"/>
      <c r="AK77" s="1"/>
      <c r="AL77" s="51">
        <v>0.9664109630941411</v>
      </c>
      <c r="AM77" s="1"/>
      <c r="AN77" s="1"/>
      <c r="AO77" s="1"/>
      <c r="AP77" s="1"/>
      <c r="AQ77" s="1"/>
      <c r="AR77" s="51">
        <v>0.9682164220439753</v>
      </c>
      <c r="AS77" s="1"/>
      <c r="AT77" s="1"/>
      <c r="AU77" s="1"/>
      <c r="AV77" s="1"/>
      <c r="AW77" s="1"/>
      <c r="AX77" s="51">
        <v>0.9700382612188125</v>
      </c>
      <c r="AY77" s="1"/>
      <c r="AZ77" s="1"/>
      <c r="BA77" s="1"/>
      <c r="BB77" s="1"/>
      <c r="BC77" s="1"/>
      <c r="BD77" s="51">
        <v>0.9718533325346053</v>
      </c>
      <c r="BJ77" s="53">
        <v>0.9570173673740797</v>
      </c>
      <c r="BL77" s="16" t="s">
        <v>45</v>
      </c>
    </row>
    <row r="78" spans="1:64" ht="12.75">
      <c r="A78" s="16" t="s">
        <v>46</v>
      </c>
      <c r="B78" s="51">
        <v>0.9399325204881372</v>
      </c>
      <c r="C78" s="1"/>
      <c r="D78" s="1"/>
      <c r="E78" s="1"/>
      <c r="F78" s="1"/>
      <c r="G78" s="1"/>
      <c r="H78" s="51">
        <v>0.9407072940147676</v>
      </c>
      <c r="I78" s="1"/>
      <c r="J78" s="1"/>
      <c r="K78" s="1"/>
      <c r="L78" s="1"/>
      <c r="M78" s="1"/>
      <c r="N78" s="51">
        <v>0.9411930647498646</v>
      </c>
      <c r="O78" s="1"/>
      <c r="P78" s="1"/>
      <c r="Q78" s="1"/>
      <c r="R78" s="1"/>
      <c r="S78" s="1"/>
      <c r="T78" s="51">
        <v>0.9432165901474894</v>
      </c>
      <c r="U78" s="1"/>
      <c r="V78" s="1"/>
      <c r="W78" s="1"/>
      <c r="X78" s="1"/>
      <c r="Y78" s="1"/>
      <c r="Z78" s="51">
        <v>0.9452820317529375</v>
      </c>
      <c r="AA78" s="1"/>
      <c r="AB78" s="1"/>
      <c r="AC78" s="1"/>
      <c r="AD78" s="1"/>
      <c r="AE78" s="1"/>
      <c r="AF78" s="51">
        <v>0.9474892985609565</v>
      </c>
      <c r="AG78" s="1"/>
      <c r="AH78" s="1"/>
      <c r="AI78" s="1"/>
      <c r="AJ78" s="1"/>
      <c r="AK78" s="1"/>
      <c r="AL78" s="51">
        <v>0.9498167237063545</v>
      </c>
      <c r="AM78" s="1"/>
      <c r="AN78" s="1"/>
      <c r="AO78" s="1"/>
      <c r="AP78" s="1"/>
      <c r="AQ78" s="1"/>
      <c r="AR78" s="51">
        <v>0.952231358843363</v>
      </c>
      <c r="AS78" s="1"/>
      <c r="AT78" s="1"/>
      <c r="AU78" s="1"/>
      <c r="AV78" s="1"/>
      <c r="AW78" s="1"/>
      <c r="AX78" s="51">
        <v>0.9546846287806648</v>
      </c>
      <c r="AY78" s="1"/>
      <c r="AZ78" s="1"/>
      <c r="BA78" s="1"/>
      <c r="BB78" s="1"/>
      <c r="BC78" s="1"/>
      <c r="BD78" s="51">
        <v>0.957146469565289</v>
      </c>
      <c r="BJ78" s="53">
        <v>0.9374900375721842</v>
      </c>
      <c r="BL78" s="16" t="s">
        <v>46</v>
      </c>
    </row>
    <row r="79" spans="1:64" ht="12.75">
      <c r="A79" s="16" t="s">
        <v>47</v>
      </c>
      <c r="B79" s="51">
        <v>0.9080470307497813</v>
      </c>
      <c r="C79" s="1"/>
      <c r="D79" s="1"/>
      <c r="E79" s="1"/>
      <c r="F79" s="1"/>
      <c r="G79" s="1"/>
      <c r="H79" s="51">
        <v>0.9090688401966821</v>
      </c>
      <c r="I79" s="1"/>
      <c r="J79" s="1"/>
      <c r="K79" s="1"/>
      <c r="L79" s="1"/>
      <c r="M79" s="1"/>
      <c r="N79" s="51">
        <v>0.9097106107227544</v>
      </c>
      <c r="O79" s="1"/>
      <c r="P79" s="1"/>
      <c r="Q79" s="1"/>
      <c r="R79" s="1"/>
      <c r="S79" s="1"/>
      <c r="T79" s="51">
        <v>0.9123933579741023</v>
      </c>
      <c r="U79" s="1"/>
      <c r="V79" s="1"/>
      <c r="W79" s="1"/>
      <c r="X79" s="1"/>
      <c r="Y79" s="1"/>
      <c r="Z79" s="51">
        <v>0.9151476992145415</v>
      </c>
      <c r="AA79" s="1"/>
      <c r="AB79" s="1"/>
      <c r="AC79" s="1"/>
      <c r="AD79" s="1"/>
      <c r="AE79" s="1"/>
      <c r="AF79" s="51">
        <v>0.9181097217013168</v>
      </c>
      <c r="AG79" s="1"/>
      <c r="AH79" s="1"/>
      <c r="AI79" s="1"/>
      <c r="AJ79" s="1"/>
      <c r="AK79" s="1"/>
      <c r="AL79" s="51">
        <v>0.9212545880724471</v>
      </c>
      <c r="AM79" s="1"/>
      <c r="AN79" s="1"/>
      <c r="AO79" s="1"/>
      <c r="AP79" s="1"/>
      <c r="AQ79" s="1"/>
      <c r="AR79" s="51">
        <v>0.924541767154358</v>
      </c>
      <c r="AS79" s="1"/>
      <c r="AT79" s="1"/>
      <c r="AU79" s="1"/>
      <c r="AV79" s="1"/>
      <c r="AW79" s="1"/>
      <c r="AX79" s="51">
        <v>0.9279082982307446</v>
      </c>
      <c r="AY79" s="1"/>
      <c r="AZ79" s="1"/>
      <c r="BA79" s="1"/>
      <c r="BB79" s="1"/>
      <c r="BC79" s="1"/>
      <c r="BD79" s="51">
        <v>0.9313151061665894</v>
      </c>
      <c r="BJ79" s="53">
        <v>0.9048397585199379</v>
      </c>
      <c r="BL79" s="16" t="s">
        <v>47</v>
      </c>
    </row>
    <row r="80" spans="1:64" ht="12.75">
      <c r="A80" s="16" t="s">
        <v>48</v>
      </c>
      <c r="B80" s="51">
        <v>0.8563084787885478</v>
      </c>
      <c r="C80" s="1"/>
      <c r="D80" s="1"/>
      <c r="E80" s="1"/>
      <c r="F80" s="1"/>
      <c r="G80" s="1"/>
      <c r="H80" s="51">
        <v>0.8576729423710848</v>
      </c>
      <c r="I80" s="1"/>
      <c r="J80" s="1"/>
      <c r="K80" s="1"/>
      <c r="L80" s="1"/>
      <c r="M80" s="1"/>
      <c r="N80" s="51">
        <v>0.8585314623258655</v>
      </c>
      <c r="O80" s="1"/>
      <c r="P80" s="1"/>
      <c r="Q80" s="1"/>
      <c r="R80" s="1"/>
      <c r="S80" s="1"/>
      <c r="T80" s="51">
        <v>0.862133291154288</v>
      </c>
      <c r="U80" s="1"/>
      <c r="V80" s="1"/>
      <c r="W80" s="1"/>
      <c r="X80" s="1"/>
      <c r="Y80" s="1"/>
      <c r="Z80" s="51">
        <v>0.8658535241752847</v>
      </c>
      <c r="AA80" s="1"/>
      <c r="AB80" s="1"/>
      <c r="AC80" s="1"/>
      <c r="AD80" s="1"/>
      <c r="AE80" s="1"/>
      <c r="AF80" s="51">
        <v>0.8698801519166548</v>
      </c>
      <c r="AG80" s="1"/>
      <c r="AH80" s="1"/>
      <c r="AI80" s="1"/>
      <c r="AJ80" s="1"/>
      <c r="AK80" s="1"/>
      <c r="AL80" s="51">
        <v>0.8741855772614141</v>
      </c>
      <c r="AM80" s="1"/>
      <c r="AN80" s="1"/>
      <c r="AO80" s="1"/>
      <c r="AP80" s="1"/>
      <c r="AQ80" s="1"/>
      <c r="AR80" s="51">
        <v>0.8787202144019722</v>
      </c>
      <c r="AS80" s="1"/>
      <c r="AT80" s="1"/>
      <c r="AU80" s="1"/>
      <c r="AV80" s="1"/>
      <c r="AW80" s="1"/>
      <c r="AX80" s="51">
        <v>0.883402040894181</v>
      </c>
      <c r="AY80" s="1"/>
      <c r="AZ80" s="1"/>
      <c r="BA80" s="1"/>
      <c r="BB80" s="1"/>
      <c r="BC80" s="1"/>
      <c r="BD80" s="51">
        <v>0.8881802286444598</v>
      </c>
      <c r="BJ80" s="53">
        <v>0.8520449295604419</v>
      </c>
      <c r="BL80" s="16" t="s">
        <v>48</v>
      </c>
    </row>
    <row r="81" spans="1:64" ht="12.75">
      <c r="A81" s="16" t="s">
        <v>49</v>
      </c>
      <c r="B81" s="51">
        <v>0.7763004286179075</v>
      </c>
      <c r="C81" s="1"/>
      <c r="D81" s="1"/>
      <c r="E81" s="1"/>
      <c r="F81" s="1"/>
      <c r="G81" s="1"/>
      <c r="H81" s="51">
        <v>0.7781148249219182</v>
      </c>
      <c r="I81" s="1"/>
      <c r="J81" s="1"/>
      <c r="K81" s="1"/>
      <c r="L81" s="1"/>
      <c r="M81" s="1"/>
      <c r="N81" s="51">
        <v>0.7792585985141587</v>
      </c>
      <c r="O81" s="1"/>
      <c r="P81" s="1"/>
      <c r="Q81" s="1"/>
      <c r="R81" s="1"/>
      <c r="S81" s="1"/>
      <c r="T81" s="51">
        <v>0.7840754923622092</v>
      </c>
      <c r="U81" s="1"/>
      <c r="V81" s="1"/>
      <c r="W81" s="1"/>
      <c r="X81" s="1"/>
      <c r="Y81" s="1"/>
      <c r="Z81" s="51">
        <v>0.7890821835660285</v>
      </c>
      <c r="AA81" s="1"/>
      <c r="AB81" s="1"/>
      <c r="AC81" s="1"/>
      <c r="AD81" s="1"/>
      <c r="AE81" s="1"/>
      <c r="AF81" s="51">
        <v>0.7945378855401332</v>
      </c>
      <c r="AG81" s="1"/>
      <c r="AH81" s="1"/>
      <c r="AI81" s="1"/>
      <c r="AJ81" s="1"/>
      <c r="AK81" s="1"/>
      <c r="AL81" s="51">
        <v>0.8004143194381033</v>
      </c>
      <c r="AM81" s="1"/>
      <c r="AN81" s="1"/>
      <c r="AO81" s="1"/>
      <c r="AP81" s="1"/>
      <c r="AQ81" s="1"/>
      <c r="AR81" s="51">
        <v>0.8066526601864407</v>
      </c>
      <c r="AS81" s="1"/>
      <c r="AT81" s="1"/>
      <c r="AU81" s="1"/>
      <c r="AV81" s="1"/>
      <c r="AW81" s="1"/>
      <c r="AX81" s="51">
        <v>0.8131475046412814</v>
      </c>
      <c r="AY81" s="1"/>
      <c r="AZ81" s="1"/>
      <c r="BA81" s="1"/>
      <c r="BB81" s="1"/>
      <c r="BC81" s="1"/>
      <c r="BD81" s="51">
        <v>0.819833980795569</v>
      </c>
      <c r="BJ81" s="53">
        <v>0.7706578144261508</v>
      </c>
      <c r="BL81" s="16" t="s">
        <v>49</v>
      </c>
    </row>
    <row r="82" spans="1:64" ht="12.75">
      <c r="A82" s="16" t="s">
        <v>50</v>
      </c>
      <c r="B82" s="51">
        <v>0.6562715575593198</v>
      </c>
      <c r="C82" s="1"/>
      <c r="D82" s="1"/>
      <c r="E82" s="1"/>
      <c r="F82" s="1"/>
      <c r="G82" s="1"/>
      <c r="H82" s="51">
        <v>0.6583618049884516</v>
      </c>
      <c r="I82" s="1"/>
      <c r="J82" s="1"/>
      <c r="K82" s="1"/>
      <c r="L82" s="1"/>
      <c r="M82" s="1"/>
      <c r="N82" s="51">
        <v>0.6596821585118691</v>
      </c>
      <c r="O82" s="1"/>
      <c r="P82" s="1"/>
      <c r="Q82" s="1"/>
      <c r="R82" s="1"/>
      <c r="S82" s="1"/>
      <c r="T82" s="51">
        <v>0.6652658430872195</v>
      </c>
      <c r="U82" s="1"/>
      <c r="V82" s="1"/>
      <c r="W82" s="1"/>
      <c r="X82" s="1"/>
      <c r="Y82" s="1"/>
      <c r="Z82" s="51">
        <v>0.6711100303524986</v>
      </c>
      <c r="AA82" s="1"/>
      <c r="AB82" s="1"/>
      <c r="AC82" s="1"/>
      <c r="AD82" s="1"/>
      <c r="AE82" s="1"/>
      <c r="AF82" s="51">
        <v>0.6775267591057219</v>
      </c>
      <c r="AG82" s="1"/>
      <c r="AH82" s="1"/>
      <c r="AI82" s="1"/>
      <c r="AJ82" s="1"/>
      <c r="AK82" s="1"/>
      <c r="AL82" s="51">
        <v>0.6844966996125089</v>
      </c>
      <c r="AM82" s="1"/>
      <c r="AN82" s="1"/>
      <c r="AO82" s="1"/>
      <c r="AP82" s="1"/>
      <c r="AQ82" s="1"/>
      <c r="AR82" s="51">
        <v>0.6919645503141205</v>
      </c>
      <c r="AS82" s="1"/>
      <c r="AT82" s="1"/>
      <c r="AU82" s="1"/>
      <c r="AV82" s="1"/>
      <c r="AW82" s="1"/>
      <c r="AX82" s="51">
        <v>0.699817562372525</v>
      </c>
      <c r="AY82" s="1"/>
      <c r="AZ82" s="1"/>
      <c r="BA82" s="1"/>
      <c r="BB82" s="1"/>
      <c r="BC82" s="1"/>
      <c r="BD82" s="51">
        <v>0.7079890428701302</v>
      </c>
      <c r="BJ82" s="53">
        <v>0.6498039445474477</v>
      </c>
      <c r="BL82" s="16" t="s">
        <v>50</v>
      </c>
    </row>
    <row r="83" spans="1:64" ht="12.75">
      <c r="A83" s="13" t="s">
        <v>51</v>
      </c>
      <c r="B83" s="51">
        <v>0.3991949986315844</v>
      </c>
      <c r="C83" s="1"/>
      <c r="D83" s="1"/>
      <c r="E83" s="1"/>
      <c r="F83" s="1"/>
      <c r="G83" s="1"/>
      <c r="H83" s="51">
        <v>0.400442565053376</v>
      </c>
      <c r="I83" s="1"/>
      <c r="J83" s="1"/>
      <c r="K83" s="1"/>
      <c r="L83" s="1"/>
      <c r="M83" s="1"/>
      <c r="N83" s="51">
        <v>0.4012318297952812</v>
      </c>
      <c r="O83" s="1"/>
      <c r="P83" s="1"/>
      <c r="Q83" s="1"/>
      <c r="R83" s="1"/>
      <c r="S83" s="1"/>
      <c r="T83" s="51">
        <v>0.4045801735772771</v>
      </c>
      <c r="U83" s="1"/>
      <c r="V83" s="1"/>
      <c r="W83" s="1"/>
      <c r="X83" s="1"/>
      <c r="Y83" s="1"/>
      <c r="Z83" s="51">
        <v>0.4081036872800569</v>
      </c>
      <c r="AA83" s="1"/>
      <c r="AB83" s="1"/>
      <c r="AC83" s="1"/>
      <c r="AD83" s="1"/>
      <c r="AE83" s="1"/>
      <c r="AF83" s="51">
        <v>0.41199573936187905</v>
      </c>
      <c r="AG83" s="1"/>
      <c r="AH83" s="1"/>
      <c r="AI83" s="1"/>
      <c r="AJ83" s="1"/>
      <c r="AK83" s="1"/>
      <c r="AL83" s="51">
        <v>0.4162523941370057</v>
      </c>
      <c r="AM83" s="1"/>
      <c r="AN83" s="1"/>
      <c r="AO83" s="1"/>
      <c r="AP83" s="1"/>
      <c r="AQ83" s="1"/>
      <c r="AR83" s="51">
        <v>0.42084850370284976</v>
      </c>
      <c r="AS83" s="1"/>
      <c r="AT83" s="1"/>
      <c r="AU83" s="1"/>
      <c r="AV83" s="1"/>
      <c r="AW83" s="1"/>
      <c r="AX83" s="51">
        <v>0.42572340718143814</v>
      </c>
      <c r="AY83" s="1"/>
      <c r="AZ83" s="1"/>
      <c r="BA83" s="1"/>
      <c r="BB83" s="1"/>
      <c r="BC83" s="1"/>
      <c r="BD83" s="51">
        <v>0.43084421286091396</v>
      </c>
      <c r="BJ83" s="53">
        <v>0.3953493107245539</v>
      </c>
      <c r="BL83" s="13" t="s">
        <v>51</v>
      </c>
    </row>
    <row r="84" spans="1:64" ht="12.75">
      <c r="A84" t="s">
        <v>57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J84" s="47"/>
      <c r="BL84" t="s">
        <v>57</v>
      </c>
    </row>
    <row r="85" spans="1:64" ht="12.75">
      <c r="A85" s="19">
        <v>0</v>
      </c>
      <c r="B85" s="54">
        <v>0.016573570496719082</v>
      </c>
      <c r="C85" s="1"/>
      <c r="D85" s="1"/>
      <c r="E85" s="1"/>
      <c r="F85" s="1"/>
      <c r="G85" s="1"/>
      <c r="H85" s="54">
        <v>0.014511353185861223</v>
      </c>
      <c r="I85" s="1"/>
      <c r="J85" s="1"/>
      <c r="K85" s="1"/>
      <c r="L85" s="1"/>
      <c r="M85" s="1"/>
      <c r="N85" s="54">
        <v>0.012452406730775962</v>
      </c>
      <c r="O85" s="1"/>
      <c r="P85" s="1"/>
      <c r="Q85" s="1"/>
      <c r="R85" s="1"/>
      <c r="S85" s="1"/>
      <c r="T85" s="54">
        <v>0.010394098253600922</v>
      </c>
      <c r="U85" s="1"/>
      <c r="V85" s="1"/>
      <c r="W85" s="1"/>
      <c r="X85" s="1"/>
      <c r="Y85" s="1"/>
      <c r="Z85" s="54">
        <v>0.008518771473452294</v>
      </c>
      <c r="AA85" s="1"/>
      <c r="AB85" s="1"/>
      <c r="AC85" s="1"/>
      <c r="AD85" s="1"/>
      <c r="AE85" s="1"/>
      <c r="AF85" s="54">
        <v>0.00709812855744443</v>
      </c>
      <c r="AG85" s="1"/>
      <c r="AH85" s="1"/>
      <c r="AI85" s="1"/>
      <c r="AJ85" s="1"/>
      <c r="AK85" s="1"/>
      <c r="AL85" s="54">
        <v>0.006071728286436165</v>
      </c>
      <c r="AM85" s="1"/>
      <c r="AN85" s="1"/>
      <c r="AO85" s="1"/>
      <c r="AP85" s="1"/>
      <c r="AQ85" s="1"/>
      <c r="AR85" s="54">
        <v>0.005358930817460448</v>
      </c>
      <c r="AS85" s="1"/>
      <c r="AT85" s="1"/>
      <c r="AU85" s="1"/>
      <c r="AV85" s="1"/>
      <c r="AW85" s="1"/>
      <c r="AX85" s="54">
        <v>0.004841628145599063</v>
      </c>
      <c r="AY85" s="1"/>
      <c r="AZ85" s="1"/>
      <c r="BA85" s="1"/>
      <c r="BB85" s="1"/>
      <c r="BC85" s="1"/>
      <c r="BD85" s="54">
        <v>0.004453008804581112</v>
      </c>
      <c r="BJ85" s="55">
        <v>0.019264947107588252</v>
      </c>
      <c r="BL85" s="19">
        <v>0</v>
      </c>
    </row>
    <row r="86" spans="1:64" ht="12.75">
      <c r="A86" s="19">
        <v>1</v>
      </c>
      <c r="B86" s="54">
        <v>0.0009372025534038063</v>
      </c>
      <c r="C86" s="1"/>
      <c r="D86" s="1"/>
      <c r="E86" s="1"/>
      <c r="F86" s="1"/>
      <c r="G86" s="1"/>
      <c r="H86" s="54">
        <v>0.000783816626369872</v>
      </c>
      <c r="I86" s="1"/>
      <c r="J86" s="1"/>
      <c r="K86" s="1"/>
      <c r="L86" s="1"/>
      <c r="M86" s="1"/>
      <c r="N86" s="54">
        <v>0.0006559752989940704</v>
      </c>
      <c r="O86" s="1"/>
      <c r="P86" s="1"/>
      <c r="Q86" s="1"/>
      <c r="R86" s="1"/>
      <c r="S86" s="1"/>
      <c r="T86" s="54">
        <v>0.000526777960270513</v>
      </c>
      <c r="U86" s="1"/>
      <c r="V86" s="1"/>
      <c r="W86" s="1"/>
      <c r="X86" s="1"/>
      <c r="Y86" s="1"/>
      <c r="Z86" s="54">
        <v>0.0004144116627022561</v>
      </c>
      <c r="AA86" s="1"/>
      <c r="AB86" s="1"/>
      <c r="AC86" s="1"/>
      <c r="AD86" s="1"/>
      <c r="AE86" s="1"/>
      <c r="AF86" s="54">
        <v>0.00033126762191476486</v>
      </c>
      <c r="AG86" s="1"/>
      <c r="AH86" s="1"/>
      <c r="AI86" s="1"/>
      <c r="AJ86" s="1"/>
      <c r="AK86" s="1"/>
      <c r="AL86" s="54">
        <v>0.0002720178604245189</v>
      </c>
      <c r="AM86" s="1"/>
      <c r="AN86" s="1"/>
      <c r="AO86" s="1"/>
      <c r="AP86" s="1"/>
      <c r="AQ86" s="1"/>
      <c r="AR86" s="54">
        <v>0.00023087383496565284</v>
      </c>
      <c r="AS86" s="1"/>
      <c r="AT86" s="1"/>
      <c r="AU86" s="1"/>
      <c r="AV86" s="1"/>
      <c r="AW86" s="1"/>
      <c r="AX86" s="54">
        <v>0.0002009041918930411</v>
      </c>
      <c r="AY86" s="1"/>
      <c r="AZ86" s="1"/>
      <c r="BA86" s="1"/>
      <c r="BB86" s="1"/>
      <c r="BC86" s="1"/>
      <c r="BD86" s="54">
        <v>0.00017820270483145923</v>
      </c>
      <c r="BJ86" s="55">
        <v>0.0011079486451805417</v>
      </c>
      <c r="BL86" s="19">
        <v>1</v>
      </c>
    </row>
    <row r="87" spans="1:64" ht="12.75">
      <c r="A87" s="19">
        <v>5</v>
      </c>
      <c r="B87" s="54">
        <v>0.0005688204829656858</v>
      </c>
      <c r="C87" s="1"/>
      <c r="D87" s="1"/>
      <c r="E87" s="1"/>
      <c r="F87" s="1"/>
      <c r="G87" s="1"/>
      <c r="H87" s="54">
        <v>0.00050315445199235</v>
      </c>
      <c r="I87" s="1"/>
      <c r="J87" s="1"/>
      <c r="K87" s="1"/>
      <c r="L87" s="1"/>
      <c r="M87" s="1"/>
      <c r="N87" s="54">
        <v>0.0004689311227082155</v>
      </c>
      <c r="O87" s="1"/>
      <c r="P87" s="1"/>
      <c r="Q87" s="1"/>
      <c r="R87" s="1"/>
      <c r="S87" s="1"/>
      <c r="T87" s="54">
        <v>0.0004211422671198687</v>
      </c>
      <c r="U87" s="1"/>
      <c r="V87" s="1"/>
      <c r="W87" s="1"/>
      <c r="X87" s="1"/>
      <c r="Y87" s="1"/>
      <c r="Z87" s="54">
        <v>0.00037527812513988467</v>
      </c>
      <c r="AA87" s="1"/>
      <c r="AB87" s="1"/>
      <c r="AC87" s="1"/>
      <c r="AD87" s="1"/>
      <c r="AE87" s="1"/>
      <c r="AF87" s="54">
        <v>0.00033453856799524665</v>
      </c>
      <c r="AG87" s="1"/>
      <c r="AH87" s="1"/>
      <c r="AI87" s="1"/>
      <c r="AJ87" s="1"/>
      <c r="AK87" s="1"/>
      <c r="AL87" s="54">
        <v>0.00029933307387132604</v>
      </c>
      <c r="AM87" s="1"/>
      <c r="AN87" s="1"/>
      <c r="AO87" s="1"/>
      <c r="AP87" s="1"/>
      <c r="AQ87" s="1"/>
      <c r="AR87" s="54">
        <v>0.00026946614208911424</v>
      </c>
      <c r="AS87" s="1"/>
      <c r="AT87" s="1"/>
      <c r="AU87" s="1"/>
      <c r="AV87" s="1"/>
      <c r="AW87" s="1"/>
      <c r="AX87" s="54">
        <v>0.0002436964222986161</v>
      </c>
      <c r="AY87" s="1"/>
      <c r="AZ87" s="1"/>
      <c r="BA87" s="1"/>
      <c r="BB87" s="1"/>
      <c r="BC87" s="1"/>
      <c r="BD87" s="54">
        <v>0.0002211264297398019</v>
      </c>
      <c r="BJ87" s="55">
        <v>0.0005977509798149034</v>
      </c>
      <c r="BL87" s="19">
        <v>5</v>
      </c>
    </row>
    <row r="88" spans="1:64" ht="12.75">
      <c r="A88" s="19">
        <v>10</v>
      </c>
      <c r="B88" s="54">
        <v>0.000585788340214951</v>
      </c>
      <c r="C88" s="1"/>
      <c r="D88" s="1"/>
      <c r="E88" s="1"/>
      <c r="F88" s="1"/>
      <c r="G88" s="1"/>
      <c r="H88" s="54">
        <v>0.0005337510199148232</v>
      </c>
      <c r="I88" s="1"/>
      <c r="J88" s="1"/>
      <c r="K88" s="1"/>
      <c r="L88" s="1"/>
      <c r="M88" s="1"/>
      <c r="N88" s="54">
        <v>0.0005211218122175541</v>
      </c>
      <c r="O88" s="1"/>
      <c r="P88" s="1"/>
      <c r="Q88" s="1"/>
      <c r="R88" s="1"/>
      <c r="S88" s="1"/>
      <c r="T88" s="54">
        <v>0.0004921148318686292</v>
      </c>
      <c r="U88" s="1"/>
      <c r="V88" s="1"/>
      <c r="W88" s="1"/>
      <c r="X88" s="1"/>
      <c r="Y88" s="1"/>
      <c r="Z88" s="54">
        <v>0.0004634811663403895</v>
      </c>
      <c r="AA88" s="1"/>
      <c r="AB88" s="1"/>
      <c r="AC88" s="1"/>
      <c r="AD88" s="1"/>
      <c r="AE88" s="1"/>
      <c r="AF88" s="54">
        <v>0.0004341769712509087</v>
      </c>
      <c r="AG88" s="1"/>
      <c r="AH88" s="1"/>
      <c r="AI88" s="1"/>
      <c r="AJ88" s="1"/>
      <c r="AK88" s="1"/>
      <c r="AL88" s="54">
        <v>0.00040460950618892867</v>
      </c>
      <c r="AM88" s="1"/>
      <c r="AN88" s="1"/>
      <c r="AO88" s="1"/>
      <c r="AP88" s="1"/>
      <c r="AQ88" s="1"/>
      <c r="AR88" s="54">
        <v>0.00037526682465150954</v>
      </c>
      <c r="AS88" s="1"/>
      <c r="AT88" s="1"/>
      <c r="AU88" s="1"/>
      <c r="AV88" s="1"/>
      <c r="AW88" s="1"/>
      <c r="AX88" s="54">
        <v>0.00034672500053763074</v>
      </c>
      <c r="AY88" s="1"/>
      <c r="AZ88" s="1"/>
      <c r="BA88" s="1"/>
      <c r="BB88" s="1"/>
      <c r="BC88" s="1"/>
      <c r="BD88" s="54">
        <v>0.00031928690464072854</v>
      </c>
      <c r="BJ88" s="55">
        <v>0.0005861384689542622</v>
      </c>
      <c r="BL88" s="19">
        <v>10</v>
      </c>
    </row>
    <row r="89" spans="1:64" ht="12.75">
      <c r="A89" s="19">
        <v>15</v>
      </c>
      <c r="B89" s="54">
        <v>0.0020499437135996184</v>
      </c>
      <c r="C89" s="1"/>
      <c r="D89" s="1"/>
      <c r="E89" s="1"/>
      <c r="F89" s="1"/>
      <c r="G89" s="1"/>
      <c r="H89" s="54">
        <v>0.001877599485490934</v>
      </c>
      <c r="I89" s="1"/>
      <c r="J89" s="1"/>
      <c r="K89" s="1"/>
      <c r="L89" s="1"/>
      <c r="M89" s="1"/>
      <c r="N89" s="54">
        <v>0.0018356258508957514</v>
      </c>
      <c r="O89" s="1"/>
      <c r="P89" s="1"/>
      <c r="Q89" s="1"/>
      <c r="R89" s="1"/>
      <c r="S89" s="1"/>
      <c r="T89" s="54">
        <v>0.0017389909024887204</v>
      </c>
      <c r="U89" s="1"/>
      <c r="V89" s="1"/>
      <c r="W89" s="1"/>
      <c r="X89" s="1"/>
      <c r="Y89" s="1"/>
      <c r="Z89" s="54">
        <v>0.001643271972710668</v>
      </c>
      <c r="AA89" s="1"/>
      <c r="AB89" s="1"/>
      <c r="AC89" s="1"/>
      <c r="AD89" s="1"/>
      <c r="AE89" s="1"/>
      <c r="AF89" s="54">
        <v>0.0015449540533866912</v>
      </c>
      <c r="AG89" s="1"/>
      <c r="AH89" s="1"/>
      <c r="AI89" s="1"/>
      <c r="AJ89" s="1"/>
      <c r="AK89" s="1"/>
      <c r="AL89" s="54">
        <v>0.0014453623483681286</v>
      </c>
      <c r="AM89" s="1"/>
      <c r="AN89" s="1"/>
      <c r="AO89" s="1"/>
      <c r="AP89" s="1"/>
      <c r="AQ89" s="1"/>
      <c r="AR89" s="54">
        <v>0.0013461124428270864</v>
      </c>
      <c r="AS89" s="1"/>
      <c r="AT89" s="1"/>
      <c r="AU89" s="1"/>
      <c r="AV89" s="1"/>
      <c r="AW89" s="1"/>
      <c r="AX89" s="54">
        <v>0.0012491441536792273</v>
      </c>
      <c r="AY89" s="1"/>
      <c r="AZ89" s="1"/>
      <c r="BA89" s="1"/>
      <c r="BB89" s="1"/>
      <c r="BC89" s="1"/>
      <c r="BD89" s="54">
        <v>0.0011554963663781203</v>
      </c>
      <c r="BJ89" s="55">
        <v>0.002051100147235662</v>
      </c>
      <c r="BL89" s="19">
        <v>15</v>
      </c>
    </row>
    <row r="90" spans="1:64" ht="12.75">
      <c r="A90" s="19">
        <v>20</v>
      </c>
      <c r="B90" s="54">
        <v>0.004346541454035778</v>
      </c>
      <c r="C90" s="1"/>
      <c r="D90" s="1"/>
      <c r="E90" s="1"/>
      <c r="F90" s="1"/>
      <c r="G90" s="1"/>
      <c r="H90" s="54">
        <v>0.003986093137812521</v>
      </c>
      <c r="I90" s="1"/>
      <c r="J90" s="1"/>
      <c r="K90" s="1"/>
      <c r="L90" s="1"/>
      <c r="M90" s="1"/>
      <c r="N90" s="54">
        <v>0.003898212368395137</v>
      </c>
      <c r="O90" s="1"/>
      <c r="P90" s="1"/>
      <c r="Q90" s="1"/>
      <c r="R90" s="1"/>
      <c r="S90" s="1"/>
      <c r="T90" s="54">
        <v>0.003695740756256606</v>
      </c>
      <c r="U90" s="1"/>
      <c r="V90" s="1"/>
      <c r="W90" s="1"/>
      <c r="X90" s="1"/>
      <c r="Y90" s="1"/>
      <c r="Z90" s="54">
        <v>0.003494983655252946</v>
      </c>
      <c r="AA90" s="1"/>
      <c r="AB90" s="1"/>
      <c r="AC90" s="1"/>
      <c r="AD90" s="1"/>
      <c r="AE90" s="1"/>
      <c r="AF90" s="54">
        <v>0.0032885570801802037</v>
      </c>
      <c r="AG90" s="1"/>
      <c r="AH90" s="1"/>
      <c r="AI90" s="1"/>
      <c r="AJ90" s="1"/>
      <c r="AK90" s="1"/>
      <c r="AL90" s="54">
        <v>0.003079222987634531</v>
      </c>
      <c r="AM90" s="1"/>
      <c r="AN90" s="1"/>
      <c r="AO90" s="1"/>
      <c r="AP90" s="1"/>
      <c r="AQ90" s="1"/>
      <c r="AR90" s="54">
        <v>0.0028703654424170944</v>
      </c>
      <c r="AS90" s="1"/>
      <c r="AT90" s="1"/>
      <c r="AU90" s="1"/>
      <c r="AV90" s="1"/>
      <c r="AW90" s="1"/>
      <c r="AX90" s="54">
        <v>0.0026660667021216606</v>
      </c>
      <c r="AY90" s="1"/>
      <c r="AZ90" s="1"/>
      <c r="BA90" s="1"/>
      <c r="BB90" s="1"/>
      <c r="BC90" s="1"/>
      <c r="BD90" s="54">
        <v>0.002468526362324752</v>
      </c>
      <c r="BJ90" s="55">
        <v>0.004348957982685861</v>
      </c>
      <c r="BL90" s="19">
        <v>20</v>
      </c>
    </row>
    <row r="91" spans="1:64" ht="12.75">
      <c r="A91" s="19">
        <v>25</v>
      </c>
      <c r="B91" s="54">
        <v>0.005094395584081427</v>
      </c>
      <c r="C91" s="1"/>
      <c r="D91" s="1"/>
      <c r="E91" s="1"/>
      <c r="F91" s="1"/>
      <c r="G91" s="1"/>
      <c r="H91" s="54">
        <v>0.004682928402866023</v>
      </c>
      <c r="I91" s="1"/>
      <c r="J91" s="1"/>
      <c r="K91" s="1"/>
      <c r="L91" s="1"/>
      <c r="M91" s="1"/>
      <c r="N91" s="54">
        <v>0.004582450706637821</v>
      </c>
      <c r="O91" s="1"/>
      <c r="P91" s="1"/>
      <c r="Q91" s="1"/>
      <c r="R91" s="1"/>
      <c r="S91" s="1"/>
      <c r="T91" s="54">
        <v>0.0043507084393405535</v>
      </c>
      <c r="U91" s="1"/>
      <c r="V91" s="1"/>
      <c r="W91" s="1"/>
      <c r="X91" s="1"/>
      <c r="Y91" s="1"/>
      <c r="Z91" s="54">
        <v>0.004120572532754196</v>
      </c>
      <c r="AA91" s="1"/>
      <c r="AB91" s="1"/>
      <c r="AC91" s="1"/>
      <c r="AD91" s="1"/>
      <c r="AE91" s="1"/>
      <c r="AF91" s="54">
        <v>0.0038835475264194235</v>
      </c>
      <c r="AG91" s="1"/>
      <c r="AH91" s="1"/>
      <c r="AI91" s="1"/>
      <c r="AJ91" s="1"/>
      <c r="AK91" s="1"/>
      <c r="AL91" s="54">
        <v>0.003642756332589747</v>
      </c>
      <c r="AM91" s="1"/>
      <c r="AN91" s="1"/>
      <c r="AO91" s="1"/>
      <c r="AP91" s="1"/>
      <c r="AQ91" s="1"/>
      <c r="AR91" s="54">
        <v>0.0034020564942711007</v>
      </c>
      <c r="AS91" s="1"/>
      <c r="AT91" s="1"/>
      <c r="AU91" s="1"/>
      <c r="AV91" s="1"/>
      <c r="AW91" s="1"/>
      <c r="AX91" s="54">
        <v>0.0031661386115434446</v>
      </c>
      <c r="AY91" s="1"/>
      <c r="AZ91" s="1"/>
      <c r="BA91" s="1"/>
      <c r="BB91" s="1"/>
      <c r="BC91" s="1"/>
      <c r="BD91" s="54">
        <v>0.0029375489345695384</v>
      </c>
      <c r="BJ91" s="55">
        <v>0.005097150755313511</v>
      </c>
      <c r="BL91" s="19">
        <v>25</v>
      </c>
    </row>
    <row r="92" spans="1:64" ht="12.75">
      <c r="A92" s="19">
        <v>30</v>
      </c>
      <c r="B92" s="54">
        <v>0.00638683356887991</v>
      </c>
      <c r="C92" s="1"/>
      <c r="D92" s="1"/>
      <c r="E92" s="1"/>
      <c r="F92" s="1"/>
      <c r="G92" s="1"/>
      <c r="H92" s="54">
        <v>0.005871241962137734</v>
      </c>
      <c r="I92" s="1"/>
      <c r="J92" s="1"/>
      <c r="K92" s="1"/>
      <c r="L92" s="1"/>
      <c r="M92" s="1"/>
      <c r="N92" s="54">
        <v>0.005745313624992604</v>
      </c>
      <c r="O92" s="1"/>
      <c r="P92" s="1"/>
      <c r="Q92" s="1"/>
      <c r="R92" s="1"/>
      <c r="S92" s="1"/>
      <c r="T92" s="54">
        <v>0.005454837239324696</v>
      </c>
      <c r="U92" s="1"/>
      <c r="V92" s="1"/>
      <c r="W92" s="1"/>
      <c r="X92" s="1"/>
      <c r="Y92" s="1"/>
      <c r="Z92" s="54">
        <v>0.005166328218048429</v>
      </c>
      <c r="AA92" s="1"/>
      <c r="AB92" s="1"/>
      <c r="AC92" s="1"/>
      <c r="AD92" s="1"/>
      <c r="AE92" s="1"/>
      <c r="AF92" s="54">
        <v>0.004869137060420322</v>
      </c>
      <c r="AG92" s="1"/>
      <c r="AH92" s="1"/>
      <c r="AI92" s="1"/>
      <c r="AJ92" s="1"/>
      <c r="AK92" s="1"/>
      <c r="AL92" s="54">
        <v>0.004567179122189338</v>
      </c>
      <c r="AM92" s="1"/>
      <c r="AN92" s="1"/>
      <c r="AO92" s="1"/>
      <c r="AP92" s="1"/>
      <c r="AQ92" s="1"/>
      <c r="AR92" s="54">
        <v>0.004265294109264783</v>
      </c>
      <c r="AS92" s="1"/>
      <c r="AT92" s="1"/>
      <c r="AU92" s="1"/>
      <c r="AV92" s="1"/>
      <c r="AW92" s="1"/>
      <c r="AX92" s="54">
        <v>0.003969369834155808</v>
      </c>
      <c r="AY92" s="1"/>
      <c r="AZ92" s="1"/>
      <c r="BA92" s="1"/>
      <c r="BB92" s="1"/>
      <c r="BC92" s="1"/>
      <c r="BD92" s="54">
        <v>0.003682606847189435</v>
      </c>
      <c r="BJ92" s="55">
        <v>0.006390285405213414</v>
      </c>
      <c r="BL92" s="19">
        <v>30</v>
      </c>
    </row>
    <row r="93" spans="1:64" ht="12.75">
      <c r="A93" s="19">
        <v>35</v>
      </c>
      <c r="B93" s="54">
        <v>0.008253844409961165</v>
      </c>
      <c r="C93" s="1"/>
      <c r="D93" s="1"/>
      <c r="E93" s="1"/>
      <c r="F93" s="1"/>
      <c r="G93" s="1"/>
      <c r="H93" s="54">
        <v>0.007634860900274586</v>
      </c>
      <c r="I93" s="1"/>
      <c r="J93" s="1"/>
      <c r="K93" s="1"/>
      <c r="L93" s="1"/>
      <c r="M93" s="1"/>
      <c r="N93" s="54">
        <v>0.0074830566927504595</v>
      </c>
      <c r="O93" s="1"/>
      <c r="P93" s="1"/>
      <c r="Q93" s="1"/>
      <c r="R93" s="1"/>
      <c r="S93" s="1"/>
      <c r="T93" s="54">
        <v>0.007131908135412107</v>
      </c>
      <c r="U93" s="1"/>
      <c r="V93" s="1"/>
      <c r="W93" s="1"/>
      <c r="X93" s="1"/>
      <c r="Y93" s="1"/>
      <c r="Z93" s="54">
        <v>0.0067817179131942195</v>
      </c>
      <c r="AA93" s="1"/>
      <c r="AB93" s="1"/>
      <c r="AC93" s="1"/>
      <c r="AD93" s="1"/>
      <c r="AE93" s="1"/>
      <c r="AF93" s="54">
        <v>0.006419424421661565</v>
      </c>
      <c r="AG93" s="1"/>
      <c r="AH93" s="1"/>
      <c r="AI93" s="1"/>
      <c r="AJ93" s="1"/>
      <c r="AK93" s="1"/>
      <c r="AL93" s="54">
        <v>0.006049592425867524</v>
      </c>
      <c r="AM93" s="1"/>
      <c r="AN93" s="1"/>
      <c r="AO93" s="1"/>
      <c r="AP93" s="1"/>
      <c r="AQ93" s="1"/>
      <c r="AR93" s="54">
        <v>0.005677992084646638</v>
      </c>
      <c r="AS93" s="1"/>
      <c r="AT93" s="1"/>
      <c r="AU93" s="1"/>
      <c r="AV93" s="1"/>
      <c r="AW93" s="1"/>
      <c r="AX93" s="54">
        <v>0.005311796505953871</v>
      </c>
      <c r="AY93" s="1"/>
      <c r="AZ93" s="1"/>
      <c r="BA93" s="1"/>
      <c r="BB93" s="1"/>
      <c r="BC93" s="1"/>
      <c r="BD93" s="54">
        <v>0.004954973473519435</v>
      </c>
      <c r="BJ93" s="55">
        <v>0.00825797510668181</v>
      </c>
      <c r="BL93" s="19">
        <v>35</v>
      </c>
    </row>
    <row r="94" spans="1:64" ht="12.75">
      <c r="A94" s="19">
        <v>40</v>
      </c>
      <c r="B94" s="54">
        <v>0.011470193046310886</v>
      </c>
      <c r="C94" s="1"/>
      <c r="D94" s="1"/>
      <c r="E94" s="1"/>
      <c r="F94" s="1"/>
      <c r="G94" s="1"/>
      <c r="H94" s="54">
        <v>0.010693956940375983</v>
      </c>
      <c r="I94" s="1"/>
      <c r="J94" s="1"/>
      <c r="K94" s="1"/>
      <c r="L94" s="1"/>
      <c r="M94" s="1"/>
      <c r="N94" s="54">
        <v>0.010502583220465659</v>
      </c>
      <c r="O94" s="1"/>
      <c r="P94" s="1"/>
      <c r="Q94" s="1"/>
      <c r="R94" s="1"/>
      <c r="S94" s="1"/>
      <c r="T94" s="54">
        <v>0.010058310082366769</v>
      </c>
      <c r="U94" s="1"/>
      <c r="V94" s="1"/>
      <c r="W94" s="1"/>
      <c r="X94" s="1"/>
      <c r="Y94" s="1"/>
      <c r="Z94" s="54">
        <v>0.009612941124139575</v>
      </c>
      <c r="AA94" s="1"/>
      <c r="AB94" s="1"/>
      <c r="AC94" s="1"/>
      <c r="AD94" s="1"/>
      <c r="AE94" s="1"/>
      <c r="AF94" s="54">
        <v>0.009149621458349095</v>
      </c>
      <c r="AG94" s="1"/>
      <c r="AH94" s="1"/>
      <c r="AI94" s="1"/>
      <c r="AJ94" s="1"/>
      <c r="AK94" s="1"/>
      <c r="AL94" s="54">
        <v>0.008673821148150957</v>
      </c>
      <c r="AM94" s="1"/>
      <c r="AN94" s="1"/>
      <c r="AO94" s="1"/>
      <c r="AP94" s="1"/>
      <c r="AQ94" s="1"/>
      <c r="AR94" s="54">
        <v>0.008192672874249868</v>
      </c>
      <c r="AS94" s="1"/>
      <c r="AT94" s="1"/>
      <c r="AU94" s="1"/>
      <c r="AV94" s="1"/>
      <c r="AW94" s="1"/>
      <c r="AX94" s="54">
        <v>0.00771530506328249</v>
      </c>
      <c r="AY94" s="1"/>
      <c r="AZ94" s="1"/>
      <c r="BA94" s="1"/>
      <c r="BB94" s="1"/>
      <c r="BC94" s="1"/>
      <c r="BD94" s="54">
        <v>0.007246862514907085</v>
      </c>
      <c r="BJ94" s="55">
        <v>0.011475351801917558</v>
      </c>
      <c r="BL94" s="19">
        <v>40</v>
      </c>
    </row>
    <row r="95" spans="1:64" ht="12.75">
      <c r="A95" s="19">
        <v>45</v>
      </c>
      <c r="B95" s="54">
        <v>0.016081422646435545</v>
      </c>
      <c r="C95" s="1"/>
      <c r="D95" s="1"/>
      <c r="E95" s="1"/>
      <c r="F95" s="1"/>
      <c r="G95" s="1"/>
      <c r="H95" s="54">
        <v>0.015130440122935745</v>
      </c>
      <c r="I95" s="1"/>
      <c r="J95" s="1"/>
      <c r="K95" s="1"/>
      <c r="L95" s="1"/>
      <c r="M95" s="1"/>
      <c r="N95" s="54">
        <v>0.014894555432459657</v>
      </c>
      <c r="O95" s="1"/>
      <c r="P95" s="1"/>
      <c r="Q95" s="1"/>
      <c r="R95" s="1"/>
      <c r="S95" s="1"/>
      <c r="T95" s="54">
        <v>0.01434466564163435</v>
      </c>
      <c r="U95" s="1"/>
      <c r="V95" s="1"/>
      <c r="W95" s="1"/>
      <c r="X95" s="1"/>
      <c r="Y95" s="1"/>
      <c r="Z95" s="54">
        <v>0.01379008980813962</v>
      </c>
      <c r="AA95" s="1"/>
      <c r="AB95" s="1"/>
      <c r="AC95" s="1"/>
      <c r="AD95" s="1"/>
      <c r="AE95" s="1"/>
      <c r="AF95" s="54">
        <v>0.013209444498154019</v>
      </c>
      <c r="AG95" s="1"/>
      <c r="AH95" s="1"/>
      <c r="AI95" s="1"/>
      <c r="AJ95" s="1"/>
      <c r="AK95" s="1"/>
      <c r="AL95" s="54">
        <v>0.012608998237118474</v>
      </c>
      <c r="AM95" s="1"/>
      <c r="AN95" s="1"/>
      <c r="AO95" s="1"/>
      <c r="AP95" s="1"/>
      <c r="AQ95" s="1"/>
      <c r="AR95" s="54">
        <v>0.011997264114164493</v>
      </c>
      <c r="AS95" s="1"/>
      <c r="AT95" s="1"/>
      <c r="AU95" s="1"/>
      <c r="AV95" s="1"/>
      <c r="AW95" s="1"/>
      <c r="AX95" s="54">
        <v>0.011385541987589284</v>
      </c>
      <c r="AY95" s="1"/>
      <c r="AZ95" s="1"/>
      <c r="BA95" s="1"/>
      <c r="BB95" s="1"/>
      <c r="BC95" s="1"/>
      <c r="BD95" s="54">
        <v>0.010780305973273223</v>
      </c>
      <c r="BJ95" s="55">
        <v>0.016087712606942438</v>
      </c>
      <c r="BL95" s="19">
        <v>45</v>
      </c>
    </row>
    <row r="96" spans="1:64" ht="12.75">
      <c r="A96" s="19">
        <v>50</v>
      </c>
      <c r="B96" s="54">
        <v>0.022421877878042926</v>
      </c>
      <c r="C96" s="1"/>
      <c r="D96" s="1"/>
      <c r="E96" s="1"/>
      <c r="F96" s="1"/>
      <c r="G96" s="1"/>
      <c r="H96" s="54">
        <v>0.021299749014259826</v>
      </c>
      <c r="I96" s="1"/>
      <c r="J96" s="1"/>
      <c r="K96" s="1"/>
      <c r="L96" s="1"/>
      <c r="M96" s="1"/>
      <c r="N96" s="54">
        <v>0.021019626672795985</v>
      </c>
      <c r="O96" s="1"/>
      <c r="P96" s="1"/>
      <c r="Q96" s="1"/>
      <c r="R96" s="1"/>
      <c r="S96" s="1"/>
      <c r="T96" s="54">
        <v>0.02036373402155475</v>
      </c>
      <c r="U96" s="1"/>
      <c r="V96" s="1"/>
      <c r="W96" s="1"/>
      <c r="X96" s="1"/>
      <c r="Y96" s="1"/>
      <c r="Z96" s="54">
        <v>0.019698030996338753</v>
      </c>
      <c r="AA96" s="1"/>
      <c r="AB96" s="1"/>
      <c r="AC96" s="1"/>
      <c r="AD96" s="1"/>
      <c r="AE96" s="1"/>
      <c r="AF96" s="54">
        <v>0.018996284795215347</v>
      </c>
      <c r="AG96" s="1"/>
      <c r="AH96" s="1"/>
      <c r="AI96" s="1"/>
      <c r="AJ96" s="1"/>
      <c r="AK96" s="1"/>
      <c r="AL96" s="54">
        <v>0.018265246999360454</v>
      </c>
      <c r="AM96" s="1"/>
      <c r="AN96" s="1"/>
      <c r="AO96" s="1"/>
      <c r="AP96" s="1"/>
      <c r="AQ96" s="1"/>
      <c r="AR96" s="54">
        <v>0.01751456376621893</v>
      </c>
      <c r="AS96" s="1"/>
      <c r="AT96" s="1"/>
      <c r="AU96" s="1"/>
      <c r="AV96" s="1"/>
      <c r="AW96" s="1"/>
      <c r="AX96" s="54">
        <v>0.016757600730205064</v>
      </c>
      <c r="AY96" s="1"/>
      <c r="AZ96" s="1"/>
      <c r="BA96" s="1"/>
      <c r="BB96" s="1"/>
      <c r="BC96" s="1"/>
      <c r="BD96" s="54">
        <v>0.01600209913655283</v>
      </c>
      <c r="BJ96" s="55">
        <v>0.022429262505227154</v>
      </c>
      <c r="BL96" s="19">
        <v>50</v>
      </c>
    </row>
    <row r="97" spans="1:64" ht="12.75">
      <c r="A97" s="19">
        <v>55</v>
      </c>
      <c r="B97" s="54">
        <v>0.030535010293435937</v>
      </c>
      <c r="C97" s="1"/>
      <c r="D97" s="1"/>
      <c r="E97" s="1"/>
      <c r="F97" s="1"/>
      <c r="G97" s="1"/>
      <c r="H97" s="54">
        <v>0.02925801002257895</v>
      </c>
      <c r="I97" s="1"/>
      <c r="J97" s="1"/>
      <c r="K97" s="1"/>
      <c r="L97" s="1"/>
      <c r="M97" s="1"/>
      <c r="N97" s="54">
        <v>0.028937386093016545</v>
      </c>
      <c r="O97" s="1"/>
      <c r="P97" s="1"/>
      <c r="Q97" s="1"/>
      <c r="R97" s="1"/>
      <c r="S97" s="1"/>
      <c r="T97" s="54">
        <v>0.02818367729991497</v>
      </c>
      <c r="U97" s="1"/>
      <c r="V97" s="1"/>
      <c r="W97" s="1"/>
      <c r="X97" s="1"/>
      <c r="Y97" s="1"/>
      <c r="Z97" s="54">
        <v>0.02741429120323399</v>
      </c>
      <c r="AA97" s="1"/>
      <c r="AB97" s="1"/>
      <c r="AC97" s="1"/>
      <c r="AD97" s="1"/>
      <c r="AE97" s="1"/>
      <c r="AF97" s="54">
        <v>0.026598257589322934</v>
      </c>
      <c r="AG97" s="1"/>
      <c r="AH97" s="1"/>
      <c r="AI97" s="1"/>
      <c r="AJ97" s="1"/>
      <c r="AK97" s="1"/>
      <c r="AL97" s="54">
        <v>0.025742486570802452</v>
      </c>
      <c r="AM97" s="1"/>
      <c r="AN97" s="1"/>
      <c r="AO97" s="1"/>
      <c r="AP97" s="1"/>
      <c r="AQ97" s="1"/>
      <c r="AR97" s="54">
        <v>0.024857418782937003</v>
      </c>
      <c r="AS97" s="1"/>
      <c r="AT97" s="1"/>
      <c r="AU97" s="1"/>
      <c r="AV97" s="1"/>
      <c r="AW97" s="1"/>
      <c r="AX97" s="54">
        <v>0.023958172145655487</v>
      </c>
      <c r="AY97" s="1"/>
      <c r="AZ97" s="1"/>
      <c r="BA97" s="1"/>
      <c r="BB97" s="1"/>
      <c r="BC97" s="1"/>
      <c r="BD97" s="54">
        <v>0.023053533331060513</v>
      </c>
      <c r="BJ97" s="55">
        <v>0.03054337598739583</v>
      </c>
      <c r="BL97" s="19">
        <v>55</v>
      </c>
    </row>
    <row r="98" spans="1:64" ht="12.75">
      <c r="A98" s="19">
        <v>60</v>
      </c>
      <c r="B98" s="54">
        <v>0.041762979302961856</v>
      </c>
      <c r="C98" s="1"/>
      <c r="D98" s="1"/>
      <c r="E98" s="1"/>
      <c r="F98" s="1"/>
      <c r="G98" s="1"/>
      <c r="H98" s="54">
        <v>0.04027888233082284</v>
      </c>
      <c r="I98" s="1"/>
      <c r="J98" s="1"/>
      <c r="K98" s="1"/>
      <c r="L98" s="1"/>
      <c r="M98" s="1"/>
      <c r="N98" s="54">
        <v>0.03990455864627344</v>
      </c>
      <c r="O98" s="1"/>
      <c r="P98" s="1"/>
      <c r="Q98" s="1"/>
      <c r="R98" s="1"/>
      <c r="S98" s="1"/>
      <c r="T98" s="54">
        <v>0.039021844667574676</v>
      </c>
      <c r="U98" s="1"/>
      <c r="V98" s="1"/>
      <c r="W98" s="1"/>
      <c r="X98" s="1"/>
      <c r="Y98" s="1"/>
      <c r="Z98" s="54">
        <v>0.03811666716777784</v>
      </c>
      <c r="AA98" s="1"/>
      <c r="AB98" s="1"/>
      <c r="AC98" s="1"/>
      <c r="AD98" s="1"/>
      <c r="AE98" s="1"/>
      <c r="AF98" s="54">
        <v>0.037151941475627615</v>
      </c>
      <c r="AG98" s="1"/>
      <c r="AH98" s="1"/>
      <c r="AI98" s="1"/>
      <c r="AJ98" s="1"/>
      <c r="AK98" s="1"/>
      <c r="AL98" s="54">
        <v>0.036134907093081224</v>
      </c>
      <c r="AM98" s="1"/>
      <c r="AN98" s="1"/>
      <c r="AO98" s="1"/>
      <c r="AP98" s="1"/>
      <c r="AQ98" s="1"/>
      <c r="AR98" s="54">
        <v>0.03507711154223765</v>
      </c>
      <c r="AS98" s="1"/>
      <c r="AT98" s="1"/>
      <c r="AU98" s="1"/>
      <c r="AV98" s="1"/>
      <c r="AW98" s="1"/>
      <c r="AX98" s="54">
        <v>0.033995946875408016</v>
      </c>
      <c r="AY98" s="1"/>
      <c r="AZ98" s="1"/>
      <c r="BA98" s="1"/>
      <c r="BB98" s="1"/>
      <c r="BC98" s="1"/>
      <c r="BD98" s="54">
        <v>0.03290150674328058</v>
      </c>
      <c r="BJ98" s="55">
        <v>0.04177266663628834</v>
      </c>
      <c r="BL98" s="19">
        <v>60</v>
      </c>
    </row>
    <row r="99" spans="1:64" ht="12.75">
      <c r="A99" s="19">
        <v>65</v>
      </c>
      <c r="B99" s="54">
        <v>0.05773793968393193</v>
      </c>
      <c r="C99" s="1"/>
      <c r="D99" s="1"/>
      <c r="E99" s="1"/>
      <c r="F99" s="1"/>
      <c r="G99" s="1"/>
      <c r="H99" s="54">
        <v>0.05591729605504474</v>
      </c>
      <c r="I99" s="1"/>
      <c r="J99" s="1"/>
      <c r="K99" s="1"/>
      <c r="L99" s="1"/>
      <c r="M99" s="1"/>
      <c r="N99" s="54">
        <v>0.05545654836140514</v>
      </c>
      <c r="O99" s="1"/>
      <c r="P99" s="1"/>
      <c r="Q99" s="1"/>
      <c r="R99" s="1"/>
      <c r="S99" s="1"/>
      <c r="T99" s="54">
        <v>0.054367531890208105</v>
      </c>
      <c r="U99" s="1"/>
      <c r="V99" s="1"/>
      <c r="W99" s="1"/>
      <c r="X99" s="1"/>
      <c r="Y99" s="1"/>
      <c r="Z99" s="54">
        <v>0.05324709869085365</v>
      </c>
      <c r="AA99" s="1"/>
      <c r="AB99" s="1"/>
      <c r="AC99" s="1"/>
      <c r="AD99" s="1"/>
      <c r="AE99" s="1"/>
      <c r="AF99" s="54">
        <v>0.05204874723813622</v>
      </c>
      <c r="AG99" s="1"/>
      <c r="AH99" s="1"/>
      <c r="AI99" s="1"/>
      <c r="AJ99" s="1"/>
      <c r="AK99" s="1"/>
      <c r="AL99" s="54">
        <v>0.05078061696846164</v>
      </c>
      <c r="AM99" s="1"/>
      <c r="AN99" s="1"/>
      <c r="AO99" s="1"/>
      <c r="AP99" s="1"/>
      <c r="AQ99" s="1"/>
      <c r="AR99" s="54">
        <v>0.04945631224302525</v>
      </c>
      <c r="AS99" s="1"/>
      <c r="AT99" s="1"/>
      <c r="AU99" s="1"/>
      <c r="AV99" s="1"/>
      <c r="AW99" s="1"/>
      <c r="AX99" s="54">
        <v>0.04809697527340213</v>
      </c>
      <c r="AY99" s="1"/>
      <c r="AZ99" s="1"/>
      <c r="BA99" s="1"/>
      <c r="BB99" s="1"/>
      <c r="BC99" s="1"/>
      <c r="BD99" s="54">
        <v>0.04671484646279988</v>
      </c>
      <c r="BJ99" s="55">
        <v>0.057749792181323326</v>
      </c>
      <c r="BL99" s="19">
        <v>65</v>
      </c>
    </row>
    <row r="100" spans="1:64" ht="12.75">
      <c r="A100" s="19">
        <v>70</v>
      </c>
      <c r="B100" s="54">
        <v>0.07680572169351947</v>
      </c>
      <c r="C100" s="1"/>
      <c r="D100" s="1"/>
      <c r="E100" s="1"/>
      <c r="F100" s="1"/>
      <c r="G100" s="1"/>
      <c r="H100" s="54">
        <v>0.07466020376244302</v>
      </c>
      <c r="I100" s="1"/>
      <c r="J100" s="1"/>
      <c r="K100" s="1"/>
      <c r="L100" s="1"/>
      <c r="M100" s="1"/>
      <c r="N100" s="54">
        <v>0.07411552215554089</v>
      </c>
      <c r="O100" s="1"/>
      <c r="P100" s="1"/>
      <c r="Q100" s="1"/>
      <c r="R100" s="1"/>
      <c r="S100" s="1"/>
      <c r="T100" s="54">
        <v>0.07282531842067987</v>
      </c>
      <c r="U100" s="1"/>
      <c r="V100" s="1"/>
      <c r="W100" s="1"/>
      <c r="X100" s="1"/>
      <c r="Y100" s="1"/>
      <c r="Z100" s="54">
        <v>0.0714937316166684</v>
      </c>
      <c r="AA100" s="1"/>
      <c r="AB100" s="1"/>
      <c r="AC100" s="1"/>
      <c r="AD100" s="1"/>
      <c r="AE100" s="1"/>
      <c r="AF100" s="54">
        <v>0.07006479349450395</v>
      </c>
      <c r="AG100" s="1"/>
      <c r="AH100" s="1"/>
      <c r="AI100" s="1"/>
      <c r="AJ100" s="1"/>
      <c r="AK100" s="1"/>
      <c r="AL100" s="54">
        <v>0.06854720992602496</v>
      </c>
      <c r="AM100" s="1"/>
      <c r="AN100" s="1"/>
      <c r="AO100" s="1"/>
      <c r="AP100" s="1"/>
      <c r="AQ100" s="1"/>
      <c r="AR100" s="54">
        <v>0.06695631699516458</v>
      </c>
      <c r="AS100" s="1"/>
      <c r="AT100" s="1"/>
      <c r="AU100" s="1"/>
      <c r="AV100" s="1"/>
      <c r="AW100" s="1"/>
      <c r="AX100" s="54">
        <v>0.06531674219870502</v>
      </c>
      <c r="AY100" s="1"/>
      <c r="AZ100" s="1"/>
      <c r="BA100" s="1"/>
      <c r="BB100" s="1"/>
      <c r="BC100" s="1"/>
      <c r="BD100" s="54">
        <v>0.06364267650126768</v>
      </c>
      <c r="BJ100" s="55">
        <v>0.07681965400259953</v>
      </c>
      <c r="BL100" s="19">
        <v>70</v>
      </c>
    </row>
    <row r="101" spans="1:64" ht="12.75">
      <c r="A101" s="19">
        <v>75</v>
      </c>
      <c r="B101" s="54">
        <v>0.10265720247997928</v>
      </c>
      <c r="C101" s="1"/>
      <c r="D101" s="1"/>
      <c r="E101" s="1"/>
      <c r="F101" s="1"/>
      <c r="G101" s="1"/>
      <c r="H101" s="54">
        <v>0.10024473334405841</v>
      </c>
      <c r="I101" s="1"/>
      <c r="J101" s="1"/>
      <c r="K101" s="1"/>
      <c r="L101" s="1"/>
      <c r="M101" s="1"/>
      <c r="N101" s="54">
        <v>0.09962995598992219</v>
      </c>
      <c r="O101" s="1"/>
      <c r="P101" s="1"/>
      <c r="Q101" s="1"/>
      <c r="R101" s="1"/>
      <c r="S101" s="1"/>
      <c r="T101" s="54">
        <v>0.09816989610700987</v>
      </c>
      <c r="U101" s="1"/>
      <c r="V101" s="1"/>
      <c r="W101" s="1"/>
      <c r="X101" s="1"/>
      <c r="Y101" s="1"/>
      <c r="Z101" s="54">
        <v>0.09665729937992482</v>
      </c>
      <c r="AA101" s="1"/>
      <c r="AB101" s="1"/>
      <c r="AC101" s="1"/>
      <c r="AD101" s="1"/>
      <c r="AE101" s="1"/>
      <c r="AF101" s="54">
        <v>0.09502755970828695</v>
      </c>
      <c r="AG101" s="1"/>
      <c r="AH101" s="1"/>
      <c r="AI101" s="1"/>
      <c r="AJ101" s="1"/>
      <c r="AK101" s="1"/>
      <c r="AL101" s="54">
        <v>0.0932891456092798</v>
      </c>
      <c r="AM101" s="1"/>
      <c r="AN101" s="1"/>
      <c r="AO101" s="1"/>
      <c r="AP101" s="1"/>
      <c r="AQ101" s="1"/>
      <c r="AR101" s="54">
        <v>0.091458212774828</v>
      </c>
      <c r="AS101" s="1"/>
      <c r="AT101" s="1"/>
      <c r="AU101" s="1"/>
      <c r="AV101" s="1"/>
      <c r="AW101" s="1"/>
      <c r="AX101" s="54">
        <v>0.0895619087703745</v>
      </c>
      <c r="AY101" s="1"/>
      <c r="AZ101" s="1"/>
      <c r="BA101" s="1"/>
      <c r="BB101" s="1"/>
      <c r="BC101" s="1"/>
      <c r="BD101" s="54">
        <v>0.08761570665970671</v>
      </c>
      <c r="BJ101" s="55">
        <v>0.102672821070722</v>
      </c>
      <c r="BL101" s="19">
        <v>75</v>
      </c>
    </row>
    <row r="102" spans="1:64" ht="12.75">
      <c r="A102" s="19">
        <v>80</v>
      </c>
      <c r="B102" s="54">
        <v>0.1468462762863237</v>
      </c>
      <c r="C102" s="1"/>
      <c r="D102" s="1"/>
      <c r="E102" s="1"/>
      <c r="F102" s="1"/>
      <c r="G102" s="1"/>
      <c r="H102" s="54">
        <v>0.1443385900606037</v>
      </c>
      <c r="I102" s="1"/>
      <c r="J102" s="1"/>
      <c r="K102" s="1"/>
      <c r="L102" s="1"/>
      <c r="M102" s="1"/>
      <c r="N102" s="54">
        <v>0.14369618238698847</v>
      </c>
      <c r="O102" s="1"/>
      <c r="P102" s="1"/>
      <c r="Q102" s="1"/>
      <c r="R102" s="1"/>
      <c r="S102" s="1"/>
      <c r="T102" s="54">
        <v>0.14216492184590443</v>
      </c>
      <c r="U102" s="1"/>
      <c r="V102" s="1"/>
      <c r="W102" s="1"/>
      <c r="X102" s="1"/>
      <c r="Y102" s="1"/>
      <c r="Z102" s="54">
        <v>0.14057015591750982</v>
      </c>
      <c r="AA102" s="1"/>
      <c r="AB102" s="1"/>
      <c r="AC102" s="1"/>
      <c r="AD102" s="1"/>
      <c r="AE102" s="1"/>
      <c r="AF102" s="54">
        <v>0.1388421232358175</v>
      </c>
      <c r="AG102" s="1"/>
      <c r="AH102" s="1"/>
      <c r="AI102" s="1"/>
      <c r="AJ102" s="1"/>
      <c r="AK102" s="1"/>
      <c r="AL102" s="54">
        <v>0.13698747044653767</v>
      </c>
      <c r="AM102" s="1"/>
      <c r="AN102" s="1"/>
      <c r="AO102" s="1"/>
      <c r="AP102" s="1"/>
      <c r="AQ102" s="1"/>
      <c r="AR102" s="54">
        <v>0.13502111324985203</v>
      </c>
      <c r="AS102" s="1"/>
      <c r="AT102" s="1"/>
      <c r="AU102" s="1"/>
      <c r="AV102" s="1"/>
      <c r="AW102" s="1"/>
      <c r="AX102" s="54">
        <v>0.13297015453003672</v>
      </c>
      <c r="AY102" s="1"/>
      <c r="AZ102" s="1"/>
      <c r="BA102" s="1"/>
      <c r="BB102" s="1"/>
      <c r="BC102" s="1"/>
      <c r="BD102" s="54">
        <v>0.1308496138901748</v>
      </c>
      <c r="BJ102" s="55">
        <v>0.14686244358123174</v>
      </c>
      <c r="BL102" s="19">
        <v>80</v>
      </c>
    </row>
    <row r="103" spans="1:64" ht="12.75">
      <c r="A103" s="19">
        <v>85</v>
      </c>
      <c r="B103" s="54">
        <v>0</v>
      </c>
      <c r="C103" s="1"/>
      <c r="D103" s="1"/>
      <c r="E103" s="1"/>
      <c r="F103" s="1"/>
      <c r="G103" s="1"/>
      <c r="H103" s="54">
        <v>0</v>
      </c>
      <c r="I103" s="1"/>
      <c r="J103" s="1"/>
      <c r="K103" s="1"/>
      <c r="L103" s="1"/>
      <c r="M103" s="1"/>
      <c r="N103" s="54">
        <v>0</v>
      </c>
      <c r="O103" s="1"/>
      <c r="P103" s="1"/>
      <c r="Q103" s="1"/>
      <c r="R103" s="1"/>
      <c r="S103" s="1"/>
      <c r="T103" s="54">
        <v>0</v>
      </c>
      <c r="U103" s="1"/>
      <c r="V103" s="1"/>
      <c r="W103" s="1"/>
      <c r="X103" s="1"/>
      <c r="Y103" s="1"/>
      <c r="Z103" s="54">
        <v>0</v>
      </c>
      <c r="AA103" s="1"/>
      <c r="AB103" s="1"/>
      <c r="AC103" s="1"/>
      <c r="AD103" s="1"/>
      <c r="AE103" s="1"/>
      <c r="AF103" s="54">
        <v>0</v>
      </c>
      <c r="AG103" s="1"/>
      <c r="AH103" s="1"/>
      <c r="AI103" s="1"/>
      <c r="AJ103" s="1"/>
      <c r="AK103" s="1"/>
      <c r="AL103" s="54">
        <v>0</v>
      </c>
      <c r="AM103" s="1"/>
      <c r="AN103" s="1"/>
      <c r="AO103" s="1"/>
      <c r="AP103" s="1"/>
      <c r="AQ103" s="1"/>
      <c r="AR103" s="54">
        <v>0</v>
      </c>
      <c r="AS103" s="1"/>
      <c r="AT103" s="1"/>
      <c r="AU103" s="1"/>
      <c r="AV103" s="1"/>
      <c r="AW103" s="1"/>
      <c r="AX103" s="54">
        <v>0</v>
      </c>
      <c r="AY103" s="1"/>
      <c r="AZ103" s="1"/>
      <c r="BA103" s="1"/>
      <c r="BB103" s="1"/>
      <c r="BC103" s="1"/>
      <c r="BD103" s="54">
        <v>0</v>
      </c>
      <c r="BJ103" s="55">
        <v>0</v>
      </c>
      <c r="BL103" s="19">
        <v>85</v>
      </c>
    </row>
    <row r="104" spans="1:64" ht="12.75">
      <c r="A104" s="13" t="s">
        <v>67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J104" s="47"/>
      <c r="BL104" s="13" t="s">
        <v>67</v>
      </c>
    </row>
    <row r="105" spans="1:64" ht="12.75">
      <c r="A105" s="19">
        <v>0</v>
      </c>
      <c r="B105" s="54">
        <v>0.013073507966209846</v>
      </c>
      <c r="C105" s="1"/>
      <c r="D105" s="1"/>
      <c r="E105" s="1"/>
      <c r="F105" s="1"/>
      <c r="G105" s="1"/>
      <c r="H105" s="54">
        <v>0.011415212991683124</v>
      </c>
      <c r="I105" s="1"/>
      <c r="J105" s="1"/>
      <c r="K105" s="1"/>
      <c r="L105" s="1"/>
      <c r="M105" s="1"/>
      <c r="N105" s="54">
        <v>0.009754210024260669</v>
      </c>
      <c r="O105" s="1"/>
      <c r="P105" s="1"/>
      <c r="Q105" s="1"/>
      <c r="R105" s="1"/>
      <c r="S105" s="1"/>
      <c r="T105" s="54">
        <v>0.008093856386915897</v>
      </c>
      <c r="U105" s="1"/>
      <c r="V105" s="1"/>
      <c r="W105" s="1"/>
      <c r="X105" s="1"/>
      <c r="Y105" s="1"/>
      <c r="Z105" s="54">
        <v>0.006580187202063584</v>
      </c>
      <c r="AA105" s="1"/>
      <c r="AB105" s="1"/>
      <c r="AC105" s="1"/>
      <c r="AD105" s="1"/>
      <c r="AE105" s="1"/>
      <c r="AF105" s="54">
        <v>0.005432529676589953</v>
      </c>
      <c r="AG105" s="1"/>
      <c r="AH105" s="1"/>
      <c r="AI105" s="1"/>
      <c r="AJ105" s="1"/>
      <c r="AK105" s="1"/>
      <c r="AL105" s="54">
        <v>0.004603315215194837</v>
      </c>
      <c r="AM105" s="1"/>
      <c r="AN105" s="1"/>
      <c r="AO105" s="1"/>
      <c r="AP105" s="1"/>
      <c r="AQ105" s="1"/>
      <c r="AR105" s="54">
        <v>0.004027291353792151</v>
      </c>
      <c r="AS105" s="1"/>
      <c r="AT105" s="1"/>
      <c r="AU105" s="1"/>
      <c r="AV105" s="1"/>
      <c r="AW105" s="1"/>
      <c r="AX105" s="54">
        <v>0.0036091859393301037</v>
      </c>
      <c r="AY105" s="1"/>
      <c r="AZ105" s="1"/>
      <c r="BA105" s="1"/>
      <c r="BB105" s="1"/>
      <c r="BC105" s="1"/>
      <c r="BD105" s="54">
        <v>0.003295027378901394</v>
      </c>
      <c r="BJ105" s="55">
        <v>0.014402918237445196</v>
      </c>
      <c r="BL105" s="19">
        <v>0</v>
      </c>
    </row>
    <row r="106" spans="1:64" ht="12.75">
      <c r="A106" s="19">
        <v>1</v>
      </c>
      <c r="B106" s="54">
        <v>0.0008072534025755915</v>
      </c>
      <c r="C106" s="1"/>
      <c r="D106" s="1"/>
      <c r="E106" s="1"/>
      <c r="F106" s="1"/>
      <c r="G106" s="1"/>
      <c r="H106" s="54">
        <v>0.0007244990964317438</v>
      </c>
      <c r="I106" s="1"/>
      <c r="J106" s="1"/>
      <c r="K106" s="1"/>
      <c r="L106" s="1"/>
      <c r="M106" s="1"/>
      <c r="N106" s="54">
        <v>0.0006420038670838289</v>
      </c>
      <c r="O106" s="1"/>
      <c r="P106" s="1"/>
      <c r="Q106" s="1"/>
      <c r="R106" s="1"/>
      <c r="S106" s="1"/>
      <c r="T106" s="54">
        <v>0.0005477998203115437</v>
      </c>
      <c r="U106" s="1"/>
      <c r="V106" s="1"/>
      <c r="W106" s="1"/>
      <c r="X106" s="1"/>
      <c r="Y106" s="1"/>
      <c r="Z106" s="54">
        <v>0.00045997398030299256</v>
      </c>
      <c r="AA106" s="1"/>
      <c r="AB106" s="1"/>
      <c r="AC106" s="1"/>
      <c r="AD106" s="1"/>
      <c r="AE106" s="1"/>
      <c r="AF106" s="54">
        <v>0.0003896297937398156</v>
      </c>
      <c r="AG106" s="1"/>
      <c r="AH106" s="1"/>
      <c r="AI106" s="1"/>
      <c r="AJ106" s="1"/>
      <c r="AK106" s="1"/>
      <c r="AL106" s="54">
        <v>0.0003356057984844437</v>
      </c>
      <c r="AM106" s="1"/>
      <c r="AN106" s="1"/>
      <c r="AO106" s="1"/>
      <c r="AP106" s="1"/>
      <c r="AQ106" s="1"/>
      <c r="AR106" s="54">
        <v>0.0002953463756264896</v>
      </c>
      <c r="AS106" s="1"/>
      <c r="AT106" s="1"/>
      <c r="AU106" s="1"/>
      <c r="AV106" s="1"/>
      <c r="AW106" s="1"/>
      <c r="AX106" s="54">
        <v>0.00026415670950923265</v>
      </c>
      <c r="AY106" s="1"/>
      <c r="AZ106" s="1"/>
      <c r="BA106" s="1"/>
      <c r="BB106" s="1"/>
      <c r="BC106" s="1"/>
      <c r="BD106" s="54">
        <v>0.0002391946412335263</v>
      </c>
      <c r="BJ106" s="55">
        <v>0.0008880117378096</v>
      </c>
      <c r="BL106" s="19">
        <v>1</v>
      </c>
    </row>
    <row r="107" spans="1:64" ht="12.75">
      <c r="A107" s="19">
        <v>5</v>
      </c>
      <c r="B107" s="54">
        <v>0.0003323240042334259</v>
      </c>
      <c r="C107" s="1"/>
      <c r="D107" s="1"/>
      <c r="E107" s="1"/>
      <c r="F107" s="1"/>
      <c r="G107" s="1"/>
      <c r="H107" s="54">
        <v>0.00031450986225765035</v>
      </c>
      <c r="I107" s="1"/>
      <c r="J107" s="1"/>
      <c r="K107" s="1"/>
      <c r="L107" s="1"/>
      <c r="M107" s="1"/>
      <c r="N107" s="54">
        <v>0.0002986836571301941</v>
      </c>
      <c r="O107" s="1"/>
      <c r="P107" s="1"/>
      <c r="Q107" s="1"/>
      <c r="R107" s="1"/>
      <c r="S107" s="1"/>
      <c r="T107" s="54">
        <v>0.0002688130098061944</v>
      </c>
      <c r="U107" s="1"/>
      <c r="V107" s="1"/>
      <c r="W107" s="1"/>
      <c r="X107" s="1"/>
      <c r="Y107" s="1"/>
      <c r="Z107" s="54">
        <v>0.00023997446049761387</v>
      </c>
      <c r="AA107" s="1"/>
      <c r="AB107" s="1"/>
      <c r="AC107" s="1"/>
      <c r="AD107" s="1"/>
      <c r="AE107" s="1"/>
      <c r="AF107" s="54">
        <v>0.00021347895598466902</v>
      </c>
      <c r="AG107" s="1"/>
      <c r="AH107" s="1"/>
      <c r="AI107" s="1"/>
      <c r="AJ107" s="1"/>
      <c r="AK107" s="1"/>
      <c r="AL107" s="54">
        <v>0.00018973796536421588</v>
      </c>
      <c r="AM107" s="1"/>
      <c r="AN107" s="1"/>
      <c r="AO107" s="1"/>
      <c r="AP107" s="1"/>
      <c r="AQ107" s="1"/>
      <c r="AR107" s="54">
        <v>0.0001688274578795039</v>
      </c>
      <c r="AS107" s="1"/>
      <c r="AT107" s="1"/>
      <c r="AU107" s="1"/>
      <c r="AV107" s="1"/>
      <c r="AW107" s="1"/>
      <c r="AX107" s="54">
        <v>0.0001502868723687113</v>
      </c>
      <c r="AY107" s="1"/>
      <c r="AZ107" s="1"/>
      <c r="BA107" s="1"/>
      <c r="BB107" s="1"/>
      <c r="BC107" s="1"/>
      <c r="BD107" s="54">
        <v>0.00013374099200903056</v>
      </c>
      <c r="BJ107" s="55">
        <v>0.0003645294634648835</v>
      </c>
      <c r="BL107" s="19">
        <v>5</v>
      </c>
    </row>
    <row r="108" spans="1:64" ht="12.75">
      <c r="A108" s="19">
        <v>10</v>
      </c>
      <c r="B108" s="54">
        <v>0.00028613238249202664</v>
      </c>
      <c r="C108" s="1"/>
      <c r="D108" s="1"/>
      <c r="E108" s="1"/>
      <c r="F108" s="1"/>
      <c r="G108" s="1"/>
      <c r="H108" s="54">
        <v>0.0002779869941012963</v>
      </c>
      <c r="I108" s="1"/>
      <c r="J108" s="1"/>
      <c r="K108" s="1"/>
      <c r="L108" s="1"/>
      <c r="M108" s="1"/>
      <c r="N108" s="54">
        <v>0.000272949241236856</v>
      </c>
      <c r="O108" s="1"/>
      <c r="P108" s="1"/>
      <c r="Q108" s="1"/>
      <c r="R108" s="1"/>
      <c r="S108" s="1"/>
      <c r="T108" s="54">
        <v>0.0002525337565986294</v>
      </c>
      <c r="U108" s="1"/>
      <c r="V108" s="1"/>
      <c r="W108" s="1"/>
      <c r="X108" s="1"/>
      <c r="Y108" s="1"/>
      <c r="Z108" s="54">
        <v>0.00023263224232587188</v>
      </c>
      <c r="AA108" s="1"/>
      <c r="AB108" s="1"/>
      <c r="AC108" s="1"/>
      <c r="AD108" s="1"/>
      <c r="AE108" s="1"/>
      <c r="AF108" s="54">
        <v>0.00021239383678980104</v>
      </c>
      <c r="AG108" s="1"/>
      <c r="AH108" s="1"/>
      <c r="AI108" s="1"/>
      <c r="AJ108" s="1"/>
      <c r="AK108" s="1"/>
      <c r="AL108" s="54">
        <v>0.00019218674371583865</v>
      </c>
      <c r="AM108" s="1"/>
      <c r="AN108" s="1"/>
      <c r="AO108" s="1"/>
      <c r="AP108" s="1"/>
      <c r="AQ108" s="1"/>
      <c r="AR108" s="54">
        <v>0.00017242990810599376</v>
      </c>
      <c r="AS108" s="1"/>
      <c r="AT108" s="1"/>
      <c r="AU108" s="1"/>
      <c r="AV108" s="1"/>
      <c r="AW108" s="1"/>
      <c r="AX108" s="54">
        <v>0.00015359285493426892</v>
      </c>
      <c r="AY108" s="1"/>
      <c r="AZ108" s="1"/>
      <c r="BA108" s="1"/>
      <c r="BB108" s="1"/>
      <c r="BC108" s="1"/>
      <c r="BD108" s="54">
        <v>0.0001359182255358855</v>
      </c>
      <c r="BJ108" s="55">
        <v>0.0003127080766316242</v>
      </c>
      <c r="BL108" s="19">
        <v>10</v>
      </c>
    </row>
    <row r="109" spans="1:64" ht="12.75">
      <c r="A109" s="19">
        <v>15</v>
      </c>
      <c r="B109" s="54">
        <v>0.0007324224854620868</v>
      </c>
      <c r="C109" s="1"/>
      <c r="D109" s="1"/>
      <c r="E109" s="1"/>
      <c r="F109" s="1"/>
      <c r="G109" s="1"/>
      <c r="H109" s="54">
        <v>0.0007106827099124994</v>
      </c>
      <c r="I109" s="1"/>
      <c r="J109" s="1"/>
      <c r="K109" s="1"/>
      <c r="L109" s="1"/>
      <c r="M109" s="1"/>
      <c r="N109" s="54">
        <v>0.0006972505020562874</v>
      </c>
      <c r="O109" s="1"/>
      <c r="P109" s="1"/>
      <c r="Q109" s="1"/>
      <c r="R109" s="1"/>
      <c r="S109" s="1"/>
      <c r="T109" s="54">
        <v>0.0006429257543779181</v>
      </c>
      <c r="U109" s="1"/>
      <c r="V109" s="1"/>
      <c r="W109" s="1"/>
      <c r="X109" s="1"/>
      <c r="Y109" s="1"/>
      <c r="Z109" s="54">
        <v>0.000590147678786422</v>
      </c>
      <c r="AA109" s="1"/>
      <c r="AB109" s="1"/>
      <c r="AC109" s="1"/>
      <c r="AD109" s="1"/>
      <c r="AE109" s="1"/>
      <c r="AF109" s="54">
        <v>0.0005366733200283713</v>
      </c>
      <c r="AG109" s="1"/>
      <c r="AH109" s="1"/>
      <c r="AI109" s="1"/>
      <c r="AJ109" s="1"/>
      <c r="AK109" s="1"/>
      <c r="AL109" s="54">
        <v>0.0004834989202537872</v>
      </c>
      <c r="AM109" s="1"/>
      <c r="AN109" s="1"/>
      <c r="AO109" s="1"/>
      <c r="AP109" s="1"/>
      <c r="AQ109" s="1"/>
      <c r="AR109" s="54">
        <v>0.0004317411273052513</v>
      </c>
      <c r="AS109" s="1"/>
      <c r="AT109" s="1"/>
      <c r="AU109" s="1"/>
      <c r="AV109" s="1"/>
      <c r="AW109" s="1"/>
      <c r="AX109" s="54">
        <v>0.00038263043561996096</v>
      </c>
      <c r="AY109" s="1"/>
      <c r="AZ109" s="1"/>
      <c r="BA109" s="1"/>
      <c r="BB109" s="1"/>
      <c r="BC109" s="1"/>
      <c r="BD109" s="54">
        <v>0.0003367866063050731</v>
      </c>
      <c r="BJ109" s="55">
        <v>0.0008035296958787925</v>
      </c>
      <c r="BL109" s="19">
        <v>15</v>
      </c>
    </row>
    <row r="110" spans="1:64" ht="12.75">
      <c r="A110" s="19">
        <v>20</v>
      </c>
      <c r="B110" s="54">
        <v>0.0009660589448649819</v>
      </c>
      <c r="C110" s="1"/>
      <c r="D110" s="1"/>
      <c r="E110" s="1"/>
      <c r="F110" s="1"/>
      <c r="G110" s="1"/>
      <c r="H110" s="54">
        <v>0.0009371307669646117</v>
      </c>
      <c r="I110" s="1"/>
      <c r="J110" s="1"/>
      <c r="K110" s="1"/>
      <c r="L110" s="1"/>
      <c r="M110" s="1"/>
      <c r="N110" s="54">
        <v>0.0009192608081843855</v>
      </c>
      <c r="O110" s="1"/>
      <c r="P110" s="1"/>
      <c r="Q110" s="1"/>
      <c r="R110" s="1"/>
      <c r="S110" s="1"/>
      <c r="T110" s="54">
        <v>0.0008470184336874311</v>
      </c>
      <c r="U110" s="1"/>
      <c r="V110" s="1"/>
      <c r="W110" s="1"/>
      <c r="X110" s="1"/>
      <c r="Y110" s="1"/>
      <c r="Z110" s="54">
        <v>0.0007768826376540877</v>
      </c>
      <c r="AA110" s="1"/>
      <c r="AB110" s="1"/>
      <c r="AC110" s="1"/>
      <c r="AD110" s="1"/>
      <c r="AE110" s="1"/>
      <c r="AF110" s="54">
        <v>0.0007058766859490319</v>
      </c>
      <c r="AG110" s="1"/>
      <c r="AH110" s="1"/>
      <c r="AI110" s="1"/>
      <c r="AJ110" s="1"/>
      <c r="AK110" s="1"/>
      <c r="AL110" s="54">
        <v>0.0006353300964609005</v>
      </c>
      <c r="AM110" s="1"/>
      <c r="AN110" s="1"/>
      <c r="AO110" s="1"/>
      <c r="AP110" s="1"/>
      <c r="AQ110" s="1"/>
      <c r="AR110" s="54">
        <v>0.0005667284030082555</v>
      </c>
      <c r="AS110" s="1"/>
      <c r="AT110" s="1"/>
      <c r="AU110" s="1"/>
      <c r="AV110" s="1"/>
      <c r="AW110" s="1"/>
      <c r="AX110" s="54">
        <v>0.0005017026964046058</v>
      </c>
      <c r="AY110" s="1"/>
      <c r="AZ110" s="1"/>
      <c r="BA110" s="1"/>
      <c r="BB110" s="1"/>
      <c r="BC110" s="1"/>
      <c r="BD110" s="54">
        <v>0.00044106988164123695</v>
      </c>
      <c r="BJ110" s="55">
        <v>0.0010607271703545866</v>
      </c>
      <c r="BL110" s="19">
        <v>20</v>
      </c>
    </row>
    <row r="111" spans="1:64" ht="12.75">
      <c r="A111" s="19">
        <v>25</v>
      </c>
      <c r="B111" s="54">
        <v>0.0011480568395095298</v>
      </c>
      <c r="C111" s="1"/>
      <c r="D111" s="1"/>
      <c r="E111" s="1"/>
      <c r="F111" s="1"/>
      <c r="G111" s="1"/>
      <c r="H111" s="54">
        <v>0.0011155888120254187</v>
      </c>
      <c r="I111" s="1"/>
      <c r="J111" s="1"/>
      <c r="K111" s="1"/>
      <c r="L111" s="1"/>
      <c r="M111" s="1"/>
      <c r="N111" s="54">
        <v>0.0010955038820919132</v>
      </c>
      <c r="O111" s="1"/>
      <c r="P111" s="1"/>
      <c r="Q111" s="1"/>
      <c r="R111" s="1"/>
      <c r="S111" s="1"/>
      <c r="T111" s="54">
        <v>0.0010140766836194684</v>
      </c>
      <c r="U111" s="1"/>
      <c r="V111" s="1"/>
      <c r="W111" s="1"/>
      <c r="X111" s="1"/>
      <c r="Y111" s="1"/>
      <c r="Z111" s="54">
        <v>0.0009346467436909691</v>
      </c>
      <c r="AA111" s="1"/>
      <c r="AB111" s="1"/>
      <c r="AC111" s="1"/>
      <c r="AD111" s="1"/>
      <c r="AE111" s="1"/>
      <c r="AF111" s="54">
        <v>0.0008538162684640043</v>
      </c>
      <c r="AG111" s="1"/>
      <c r="AH111" s="1"/>
      <c r="AI111" s="1"/>
      <c r="AJ111" s="1"/>
      <c r="AK111" s="1"/>
      <c r="AL111" s="54">
        <v>0.0007730514829461197</v>
      </c>
      <c r="AM111" s="1"/>
      <c r="AN111" s="1"/>
      <c r="AO111" s="1"/>
      <c r="AP111" s="1"/>
      <c r="AQ111" s="1"/>
      <c r="AR111" s="54">
        <v>0.000694025369442929</v>
      </c>
      <c r="AS111" s="1"/>
      <c r="AT111" s="1"/>
      <c r="AU111" s="1"/>
      <c r="AV111" s="1"/>
      <c r="AW111" s="1"/>
      <c r="AX111" s="54">
        <v>0.0006186182546082084</v>
      </c>
      <c r="AY111" s="1"/>
      <c r="AZ111" s="1"/>
      <c r="BA111" s="1"/>
      <c r="BB111" s="1"/>
      <c r="BC111" s="1"/>
      <c r="BD111" s="54">
        <v>0.0005478069431809341</v>
      </c>
      <c r="BJ111" s="55">
        <v>0.0012539331792565654</v>
      </c>
      <c r="BL111" s="19">
        <v>25</v>
      </c>
    </row>
    <row r="112" spans="1:64" ht="12.75">
      <c r="A112" s="19">
        <v>30</v>
      </c>
      <c r="B112" s="54">
        <v>0.0014633501549940844</v>
      </c>
      <c r="C112" s="1"/>
      <c r="D112" s="1"/>
      <c r="E112" s="1"/>
      <c r="F112" s="1"/>
      <c r="G112" s="1"/>
      <c r="H112" s="54">
        <v>0.0014243204674658394</v>
      </c>
      <c r="I112" s="1"/>
      <c r="J112" s="1"/>
      <c r="K112" s="1"/>
      <c r="L112" s="1"/>
      <c r="M112" s="1"/>
      <c r="N112" s="54">
        <v>0.001400143424733701</v>
      </c>
      <c r="O112" s="1"/>
      <c r="P112" s="1"/>
      <c r="Q112" s="1"/>
      <c r="R112" s="1"/>
      <c r="S112" s="1"/>
      <c r="T112" s="54">
        <v>0.001301856261695991</v>
      </c>
      <c r="U112" s="1"/>
      <c r="V112" s="1"/>
      <c r="W112" s="1"/>
      <c r="X112" s="1"/>
      <c r="Y112" s="1"/>
      <c r="Z112" s="54">
        <v>0.001205536427644565</v>
      </c>
      <c r="AA112" s="1"/>
      <c r="AB112" s="1"/>
      <c r="AC112" s="1"/>
      <c r="AD112" s="1"/>
      <c r="AE112" s="1"/>
      <c r="AF112" s="54">
        <v>0.0011070279956420799</v>
      </c>
      <c r="AG112" s="1"/>
      <c r="AH112" s="1"/>
      <c r="AI112" s="1"/>
      <c r="AJ112" s="1"/>
      <c r="AK112" s="1"/>
      <c r="AL112" s="54">
        <v>0.0010080568937217412</v>
      </c>
      <c r="AM112" s="1"/>
      <c r="AN112" s="1"/>
      <c r="AO112" s="1"/>
      <c r="AP112" s="1"/>
      <c r="AQ112" s="1"/>
      <c r="AR112" s="54">
        <v>0.0009106340885090879</v>
      </c>
      <c r="AS112" s="1"/>
      <c r="AT112" s="1"/>
      <c r="AU112" s="1"/>
      <c r="AV112" s="1"/>
      <c r="AW112" s="1"/>
      <c r="AX112" s="54">
        <v>0.0008170720739772614</v>
      </c>
      <c r="AY112" s="1"/>
      <c r="AZ112" s="1"/>
      <c r="BA112" s="1"/>
      <c r="BB112" s="1"/>
      <c r="BC112" s="1"/>
      <c r="BD112" s="54">
        <v>0.0007286102501020837</v>
      </c>
      <c r="BJ112" s="55">
        <v>0.0015901866055956259</v>
      </c>
      <c r="BL112" s="19">
        <v>30</v>
      </c>
    </row>
    <row r="113" spans="1:64" ht="12.75">
      <c r="A113" s="19">
        <v>35</v>
      </c>
      <c r="B113" s="54">
        <v>0.0020086057409782307</v>
      </c>
      <c r="C113" s="1"/>
      <c r="D113" s="1"/>
      <c r="E113" s="1"/>
      <c r="F113" s="1"/>
      <c r="G113" s="1"/>
      <c r="H113" s="54">
        <v>0.0019607717106800825</v>
      </c>
      <c r="I113" s="1"/>
      <c r="J113" s="1"/>
      <c r="K113" s="1"/>
      <c r="L113" s="1"/>
      <c r="M113" s="1"/>
      <c r="N113" s="54">
        <v>0.0019310691432806474</v>
      </c>
      <c r="O113" s="1"/>
      <c r="P113" s="1"/>
      <c r="Q113" s="1"/>
      <c r="R113" s="1"/>
      <c r="S113" s="1"/>
      <c r="T113" s="54">
        <v>0.0018097301135797002</v>
      </c>
      <c r="U113" s="1"/>
      <c r="V113" s="1"/>
      <c r="W113" s="1"/>
      <c r="X113" s="1"/>
      <c r="Y113" s="1"/>
      <c r="Z113" s="54">
        <v>0.0016898455036700145</v>
      </c>
      <c r="AA113" s="1"/>
      <c r="AB113" s="1"/>
      <c r="AC113" s="1"/>
      <c r="AD113" s="1"/>
      <c r="AE113" s="1"/>
      <c r="AF113" s="54">
        <v>0.0015661497559627212</v>
      </c>
      <c r="AG113" s="1"/>
      <c r="AH113" s="1"/>
      <c r="AI113" s="1"/>
      <c r="AJ113" s="1"/>
      <c r="AK113" s="1"/>
      <c r="AL113" s="54">
        <v>0.001440657464463787</v>
      </c>
      <c r="AM113" s="1"/>
      <c r="AN113" s="1"/>
      <c r="AO113" s="1"/>
      <c r="AP113" s="1"/>
      <c r="AQ113" s="1"/>
      <c r="AR113" s="54">
        <v>0.0013158098304938267</v>
      </c>
      <c r="AS113" s="1"/>
      <c r="AT113" s="1"/>
      <c r="AU113" s="1"/>
      <c r="AV113" s="1"/>
      <c r="AW113" s="1"/>
      <c r="AX113" s="54">
        <v>0.0011945336993699738</v>
      </c>
      <c r="AY113" s="1"/>
      <c r="AZ113" s="1"/>
      <c r="BA113" s="1"/>
      <c r="BB113" s="1"/>
      <c r="BC113" s="1"/>
      <c r="BD113" s="54">
        <v>0.0010784719799382435</v>
      </c>
      <c r="BJ113" s="55">
        <v>0.0021631130375454103</v>
      </c>
      <c r="BL113" s="19">
        <v>35</v>
      </c>
    </row>
    <row r="114" spans="1:64" ht="12.75">
      <c r="A114" s="19">
        <v>40</v>
      </c>
      <c r="B114" s="54">
        <v>0.002952421135234088</v>
      </c>
      <c r="C114" s="1"/>
      <c r="D114" s="1"/>
      <c r="E114" s="1"/>
      <c r="F114" s="1"/>
      <c r="G114" s="1"/>
      <c r="H114" s="54">
        <v>0.002892302961425432</v>
      </c>
      <c r="I114" s="1"/>
      <c r="J114" s="1"/>
      <c r="K114" s="1"/>
      <c r="L114" s="1"/>
      <c r="M114" s="1"/>
      <c r="N114" s="54">
        <v>0.002854863678659549</v>
      </c>
      <c r="O114" s="1"/>
      <c r="P114" s="1"/>
      <c r="Q114" s="1"/>
      <c r="R114" s="1"/>
      <c r="S114" s="1"/>
      <c r="T114" s="54">
        <v>0.002701018028616617</v>
      </c>
      <c r="U114" s="1"/>
      <c r="V114" s="1"/>
      <c r="W114" s="1"/>
      <c r="X114" s="1"/>
      <c r="Y114" s="1"/>
      <c r="Z114" s="54">
        <v>0.0025475128180393993</v>
      </c>
      <c r="AA114" s="1"/>
      <c r="AB114" s="1"/>
      <c r="AC114" s="1"/>
      <c r="AD114" s="1"/>
      <c r="AE114" s="1"/>
      <c r="AF114" s="54">
        <v>0.0023874318385813265</v>
      </c>
      <c r="AG114" s="1"/>
      <c r="AH114" s="1"/>
      <c r="AI114" s="1"/>
      <c r="AJ114" s="1"/>
      <c r="AK114" s="1"/>
      <c r="AL114" s="54">
        <v>0.002223107199825024</v>
      </c>
      <c r="AM114" s="1"/>
      <c r="AN114" s="1"/>
      <c r="AO114" s="1"/>
      <c r="AP114" s="1"/>
      <c r="AQ114" s="1"/>
      <c r="AR114" s="54">
        <v>0.0020575187240763357</v>
      </c>
      <c r="AS114" s="1"/>
      <c r="AT114" s="1"/>
      <c r="AU114" s="1"/>
      <c r="AV114" s="1"/>
      <c r="AW114" s="1"/>
      <c r="AX114" s="54">
        <v>0.0018944367605266501</v>
      </c>
      <c r="AY114" s="1"/>
      <c r="AZ114" s="1"/>
      <c r="BA114" s="1"/>
      <c r="BB114" s="1"/>
      <c r="BC114" s="1"/>
      <c r="BD114" s="54">
        <v>0.001736069930999866</v>
      </c>
      <c r="BJ114" s="55">
        <v>0.0031451920081637416</v>
      </c>
      <c r="BL114" s="19">
        <v>40</v>
      </c>
    </row>
    <row r="115" spans="1:64" ht="12.75">
      <c r="A115" s="19">
        <v>45</v>
      </c>
      <c r="B115" s="54">
        <v>0.00454992045034563</v>
      </c>
      <c r="C115" s="1"/>
      <c r="D115" s="1"/>
      <c r="E115" s="1"/>
      <c r="F115" s="1"/>
      <c r="G115" s="1"/>
      <c r="H115" s="54">
        <v>0.004469784517208878</v>
      </c>
      <c r="I115" s="1"/>
      <c r="J115" s="1"/>
      <c r="K115" s="1"/>
      <c r="L115" s="1"/>
      <c r="M115" s="1"/>
      <c r="N115" s="54">
        <v>0.004419762370190641</v>
      </c>
      <c r="O115" s="1"/>
      <c r="P115" s="1"/>
      <c r="Q115" s="1"/>
      <c r="R115" s="1"/>
      <c r="S115" s="1"/>
      <c r="T115" s="54">
        <v>0.0042132405008249475</v>
      </c>
      <c r="U115" s="1"/>
      <c r="V115" s="1"/>
      <c r="W115" s="1"/>
      <c r="X115" s="1"/>
      <c r="Y115" s="1"/>
      <c r="Z115" s="54">
        <v>0.004005544824447667</v>
      </c>
      <c r="AA115" s="1"/>
      <c r="AB115" s="1"/>
      <c r="AC115" s="1"/>
      <c r="AD115" s="1"/>
      <c r="AE115" s="1"/>
      <c r="AF115" s="54">
        <v>0.003787097750154026</v>
      </c>
      <c r="AG115" s="1"/>
      <c r="AH115" s="1"/>
      <c r="AI115" s="1"/>
      <c r="AJ115" s="1"/>
      <c r="AK115" s="1"/>
      <c r="AL115" s="54">
        <v>0.0035607431334915294</v>
      </c>
      <c r="AM115" s="1"/>
      <c r="AN115" s="1"/>
      <c r="AO115" s="1"/>
      <c r="AP115" s="1"/>
      <c r="AQ115" s="1"/>
      <c r="AR115" s="54">
        <v>0.0033302994672250725</v>
      </c>
      <c r="AS115" s="1"/>
      <c r="AT115" s="1"/>
      <c r="AU115" s="1"/>
      <c r="AV115" s="1"/>
      <c r="AW115" s="1"/>
      <c r="AX115" s="54">
        <v>0.003100833471962113</v>
      </c>
      <c r="AY115" s="1"/>
      <c r="AZ115" s="1"/>
      <c r="BA115" s="1"/>
      <c r="BB115" s="1"/>
      <c r="BC115" s="1"/>
      <c r="BD115" s="54">
        <v>0.0028753880335758487</v>
      </c>
      <c r="BJ115" s="55">
        <v>0.004805378421093433</v>
      </c>
      <c r="BL115" s="19">
        <v>45</v>
      </c>
    </row>
    <row r="116" spans="1:64" ht="12.75">
      <c r="A116" s="19">
        <v>50</v>
      </c>
      <c r="B116" s="54">
        <v>0.006834266970918441</v>
      </c>
      <c r="C116" s="1"/>
      <c r="D116" s="1"/>
      <c r="E116" s="1"/>
      <c r="F116" s="1"/>
      <c r="G116" s="1"/>
      <c r="H116" s="54">
        <v>0.006726906532992441</v>
      </c>
      <c r="I116" s="1"/>
      <c r="J116" s="1"/>
      <c r="K116" s="1"/>
      <c r="L116" s="1"/>
      <c r="M116" s="1"/>
      <c r="N116" s="54">
        <v>0.006659780449364934</v>
      </c>
      <c r="O116" s="1"/>
      <c r="P116" s="1"/>
      <c r="Q116" s="1"/>
      <c r="R116" s="1"/>
      <c r="S116" s="1"/>
      <c r="T116" s="54">
        <v>0.006381723764136817</v>
      </c>
      <c r="U116" s="1"/>
      <c r="V116" s="1"/>
      <c r="W116" s="1"/>
      <c r="X116" s="1"/>
      <c r="Y116" s="1"/>
      <c r="Z116" s="54">
        <v>0.006100535154521825</v>
      </c>
      <c r="AA116" s="1"/>
      <c r="AB116" s="1"/>
      <c r="AC116" s="1"/>
      <c r="AD116" s="1"/>
      <c r="AE116" s="1"/>
      <c r="AF116" s="54">
        <v>0.005803017646973129</v>
      </c>
      <c r="AG116" s="1"/>
      <c r="AH116" s="1"/>
      <c r="AI116" s="1"/>
      <c r="AJ116" s="1"/>
      <c r="AK116" s="1"/>
      <c r="AL116" s="54">
        <v>0.005492694910829782</v>
      </c>
      <c r="AM116" s="1"/>
      <c r="AN116" s="1"/>
      <c r="AO116" s="1"/>
      <c r="AP116" s="1"/>
      <c r="AQ116" s="1"/>
      <c r="AR116" s="54">
        <v>0.00517449434657114</v>
      </c>
      <c r="AS116" s="1"/>
      <c r="AT116" s="1"/>
      <c r="AU116" s="1"/>
      <c r="AV116" s="1"/>
      <c r="AW116" s="1"/>
      <c r="AX116" s="54">
        <v>0.004855198703982769</v>
      </c>
      <c r="AY116" s="1"/>
      <c r="AZ116" s="1"/>
      <c r="BA116" s="1"/>
      <c r="BB116" s="1"/>
      <c r="BC116" s="1"/>
      <c r="BD116" s="54">
        <v>0.004538934001354885</v>
      </c>
      <c r="BJ116" s="55">
        <v>0.007175106040095375</v>
      </c>
      <c r="BL116" s="19">
        <v>50</v>
      </c>
    </row>
    <row r="117" spans="1:64" ht="12.75">
      <c r="A117" s="19">
        <v>55</v>
      </c>
      <c r="B117" s="54">
        <v>0.01001701497022678</v>
      </c>
      <c r="C117" s="1"/>
      <c r="D117" s="1"/>
      <c r="E117" s="1"/>
      <c r="F117" s="1"/>
      <c r="G117" s="1"/>
      <c r="H117" s="54">
        <v>0.009874529584697334</v>
      </c>
      <c r="I117" s="1"/>
      <c r="J117" s="1"/>
      <c r="K117" s="1"/>
      <c r="L117" s="1"/>
      <c r="M117" s="1"/>
      <c r="N117" s="54">
        <v>0.00978532545914069</v>
      </c>
      <c r="O117" s="1"/>
      <c r="P117" s="1"/>
      <c r="Q117" s="1"/>
      <c r="R117" s="1"/>
      <c r="S117" s="1"/>
      <c r="T117" s="54">
        <v>0.009414837846302145</v>
      </c>
      <c r="U117" s="1"/>
      <c r="V117" s="1"/>
      <c r="W117" s="1"/>
      <c r="X117" s="1"/>
      <c r="Y117" s="1"/>
      <c r="Z117" s="54">
        <v>0.009038523153376108</v>
      </c>
      <c r="AA117" s="1"/>
      <c r="AB117" s="1"/>
      <c r="AC117" s="1"/>
      <c r="AD117" s="1"/>
      <c r="AE117" s="1"/>
      <c r="AF117" s="54">
        <v>0.00863845825108821</v>
      </c>
      <c r="AG117" s="1"/>
      <c r="AH117" s="1"/>
      <c r="AI117" s="1"/>
      <c r="AJ117" s="1"/>
      <c r="AK117" s="1"/>
      <c r="AL117" s="54">
        <v>0.008218987733834346</v>
      </c>
      <c r="AM117" s="1"/>
      <c r="AN117" s="1"/>
      <c r="AO117" s="1"/>
      <c r="AP117" s="1"/>
      <c r="AQ117" s="1"/>
      <c r="AR117" s="54">
        <v>0.007786417028460919</v>
      </c>
      <c r="AS117" s="1"/>
      <c r="AT117" s="1"/>
      <c r="AU117" s="1"/>
      <c r="AV117" s="1"/>
      <c r="AW117" s="1"/>
      <c r="AX117" s="54">
        <v>0.007349706803868066</v>
      </c>
      <c r="AY117" s="1"/>
      <c r="AZ117" s="1"/>
      <c r="BA117" s="1"/>
      <c r="BB117" s="1"/>
      <c r="BC117" s="1"/>
      <c r="BD117" s="54">
        <v>0.00691434886298931</v>
      </c>
      <c r="BJ117" s="55">
        <v>0.010467884232613849</v>
      </c>
      <c r="BL117" s="19">
        <v>55</v>
      </c>
    </row>
    <row r="118" spans="1:64" ht="12.75">
      <c r="A118" s="19">
        <v>60</v>
      </c>
      <c r="B118" s="54">
        <v>0.014905300677587422</v>
      </c>
      <c r="C118" s="1"/>
      <c r="D118" s="1"/>
      <c r="E118" s="1"/>
      <c r="F118" s="1"/>
      <c r="G118" s="1"/>
      <c r="H118" s="54">
        <v>0.014715047812926131</v>
      </c>
      <c r="I118" s="1"/>
      <c r="J118" s="1"/>
      <c r="K118" s="1"/>
      <c r="L118" s="1"/>
      <c r="M118" s="1"/>
      <c r="N118" s="54">
        <v>0.014595781838409887</v>
      </c>
      <c r="O118" s="1"/>
      <c r="P118" s="1"/>
      <c r="Q118" s="1"/>
      <c r="R118" s="1"/>
      <c r="S118" s="1"/>
      <c r="T118" s="54">
        <v>0.014099122336920114</v>
      </c>
      <c r="U118" s="1"/>
      <c r="V118" s="1"/>
      <c r="W118" s="1"/>
      <c r="X118" s="1"/>
      <c r="Y118" s="1"/>
      <c r="Z118" s="54">
        <v>0.013592413389707856</v>
      </c>
      <c r="AA118" s="1"/>
      <c r="AB118" s="1"/>
      <c r="AC118" s="1"/>
      <c r="AD118" s="1"/>
      <c r="AE118" s="1"/>
      <c r="AF118" s="54">
        <v>0.013051147219615375</v>
      </c>
      <c r="AG118" s="1"/>
      <c r="AH118" s="1"/>
      <c r="AI118" s="1"/>
      <c r="AJ118" s="1"/>
      <c r="AK118" s="1"/>
      <c r="AL118" s="54">
        <v>0.012480642304724003</v>
      </c>
      <c r="AM118" s="1"/>
      <c r="AN118" s="1"/>
      <c r="AO118" s="1"/>
      <c r="AP118" s="1"/>
      <c r="AQ118" s="1"/>
      <c r="AR118" s="54">
        <v>0.011888958842885773</v>
      </c>
      <c r="AS118" s="1"/>
      <c r="AT118" s="1"/>
      <c r="AU118" s="1"/>
      <c r="AV118" s="1"/>
      <c r="AW118" s="1"/>
      <c r="AX118" s="54">
        <v>0.011287959771207194</v>
      </c>
      <c r="AY118" s="1"/>
      <c r="AZ118" s="1"/>
      <c r="BA118" s="1"/>
      <c r="BB118" s="1"/>
      <c r="BC118" s="1"/>
      <c r="BD118" s="54">
        <v>0.010684951191994568</v>
      </c>
      <c r="BJ118" s="55">
        <v>0.01550533888995416</v>
      </c>
      <c r="BL118" s="19">
        <v>60</v>
      </c>
    </row>
    <row r="119" spans="1:64" ht="12.75">
      <c r="A119" s="19">
        <v>65</v>
      </c>
      <c r="B119" s="54">
        <v>0.024091138764516334</v>
      </c>
      <c r="C119" s="1"/>
      <c r="D119" s="1"/>
      <c r="E119" s="1"/>
      <c r="F119" s="1"/>
      <c r="G119" s="1"/>
      <c r="H119" s="54">
        <v>0.02382373605910345</v>
      </c>
      <c r="I119" s="1"/>
      <c r="J119" s="1"/>
      <c r="K119" s="1"/>
      <c r="L119" s="1"/>
      <c r="M119" s="1"/>
      <c r="N119" s="54">
        <v>0.023655845736910777</v>
      </c>
      <c r="O119" s="1"/>
      <c r="P119" s="1"/>
      <c r="Q119" s="1"/>
      <c r="R119" s="1"/>
      <c r="S119" s="1"/>
      <c r="T119" s="54">
        <v>0.022954501247074394</v>
      </c>
      <c r="U119" s="1"/>
      <c r="V119" s="1"/>
      <c r="W119" s="1"/>
      <c r="X119" s="1"/>
      <c r="Y119" s="1"/>
      <c r="Z119" s="54">
        <v>0.02223521617542215</v>
      </c>
      <c r="AA119" s="1"/>
      <c r="AB119" s="1"/>
      <c r="AC119" s="1"/>
      <c r="AD119" s="1"/>
      <c r="AE119" s="1"/>
      <c r="AF119" s="54">
        <v>0.021462537248100832</v>
      </c>
      <c r="AG119" s="1"/>
      <c r="AH119" s="1"/>
      <c r="AI119" s="1"/>
      <c r="AJ119" s="1"/>
      <c r="AK119" s="1"/>
      <c r="AL119" s="54">
        <v>0.020643069475602533</v>
      </c>
      <c r="AM119" s="1"/>
      <c r="AN119" s="1"/>
      <c r="AO119" s="1"/>
      <c r="AP119" s="1"/>
      <c r="AQ119" s="1"/>
      <c r="AR119" s="54">
        <v>0.01978746114594584</v>
      </c>
      <c r="AS119" s="1"/>
      <c r="AT119" s="1"/>
      <c r="AU119" s="1"/>
      <c r="AV119" s="1"/>
      <c r="AW119" s="1"/>
      <c r="AX119" s="54">
        <v>0.018912128461352574</v>
      </c>
      <c r="AY119" s="1"/>
      <c r="AZ119" s="1"/>
      <c r="BA119" s="1"/>
      <c r="BB119" s="1"/>
      <c r="BC119" s="1"/>
      <c r="BD119" s="54">
        <v>0.018027202855621483</v>
      </c>
      <c r="BJ119" s="55">
        <v>0.024931218472285462</v>
      </c>
      <c r="BL119" s="19">
        <v>65</v>
      </c>
    </row>
    <row r="120" spans="1:64" ht="12.75">
      <c r="A120" s="19">
        <v>70</v>
      </c>
      <c r="B120" s="54">
        <v>0.038987666882962936</v>
      </c>
      <c r="C120" s="1"/>
      <c r="D120" s="1"/>
      <c r="E120" s="1"/>
      <c r="F120" s="1"/>
      <c r="G120" s="1"/>
      <c r="H120" s="54">
        <v>0.03860106266257649</v>
      </c>
      <c r="I120" s="1"/>
      <c r="J120" s="1"/>
      <c r="K120" s="1"/>
      <c r="L120" s="1"/>
      <c r="M120" s="1"/>
      <c r="N120" s="54">
        <v>0.03835802271419076</v>
      </c>
      <c r="O120" s="1"/>
      <c r="P120" s="1"/>
      <c r="Q120" s="1"/>
      <c r="R120" s="1"/>
      <c r="S120" s="1"/>
      <c r="T120" s="54">
        <v>0.037340145220594756</v>
      </c>
      <c r="U120" s="1"/>
      <c r="V120" s="1"/>
      <c r="W120" s="1"/>
      <c r="X120" s="1"/>
      <c r="Y120" s="1"/>
      <c r="Z120" s="54">
        <v>0.03629178986641467</v>
      </c>
      <c r="AA120" s="1"/>
      <c r="AB120" s="1"/>
      <c r="AC120" s="1"/>
      <c r="AD120" s="1"/>
      <c r="AE120" s="1"/>
      <c r="AF120" s="54">
        <v>0.03516047804728807</v>
      </c>
      <c r="AG120" s="1"/>
      <c r="AH120" s="1"/>
      <c r="AI120" s="1"/>
      <c r="AJ120" s="1"/>
      <c r="AK120" s="1"/>
      <c r="AL120" s="54">
        <v>0.03395468924666972</v>
      </c>
      <c r="AM120" s="1"/>
      <c r="AN120" s="1"/>
      <c r="AO120" s="1"/>
      <c r="AP120" s="1"/>
      <c r="AQ120" s="1"/>
      <c r="AR120" s="54">
        <v>0.03268896358872795</v>
      </c>
      <c r="AS120" s="1"/>
      <c r="AT120" s="1"/>
      <c r="AU120" s="1"/>
      <c r="AV120" s="1"/>
      <c r="AW120" s="1"/>
      <c r="AX120" s="54">
        <v>0.03138667774970237</v>
      </c>
      <c r="AY120" s="1"/>
      <c r="AZ120" s="1"/>
      <c r="BA120" s="1"/>
      <c r="BB120" s="1"/>
      <c r="BC120" s="1"/>
      <c r="BD120" s="54">
        <v>0.03006226081765541</v>
      </c>
      <c r="BJ120" s="55">
        <v>0.04019836104324602</v>
      </c>
      <c r="BL120" s="19">
        <v>70</v>
      </c>
    </row>
    <row r="121" spans="1:64" ht="12.75">
      <c r="A121" s="19">
        <v>75</v>
      </c>
      <c r="B121" s="54">
        <v>0.0650420376036223</v>
      </c>
      <c r="C121" s="1"/>
      <c r="D121" s="1"/>
      <c r="E121" s="1"/>
      <c r="F121" s="1"/>
      <c r="G121" s="1"/>
      <c r="H121" s="54">
        <v>0.06445450692150602</v>
      </c>
      <c r="I121" s="1"/>
      <c r="J121" s="1"/>
      <c r="K121" s="1"/>
      <c r="L121" s="1"/>
      <c r="M121" s="1"/>
      <c r="N121" s="54">
        <v>0.06408467994497011</v>
      </c>
      <c r="O121" s="1"/>
      <c r="P121" s="1"/>
      <c r="Q121" s="1"/>
      <c r="R121" s="1"/>
      <c r="S121" s="1"/>
      <c r="T121" s="54">
        <v>0.06253180760287298</v>
      </c>
      <c r="U121" s="1"/>
      <c r="V121" s="1"/>
      <c r="W121" s="1"/>
      <c r="X121" s="1"/>
      <c r="Y121" s="1"/>
      <c r="Z121" s="54">
        <v>0.06092563957015388</v>
      </c>
      <c r="AA121" s="1"/>
      <c r="AB121" s="1"/>
      <c r="AC121" s="1"/>
      <c r="AD121" s="1"/>
      <c r="AE121" s="1"/>
      <c r="AF121" s="54">
        <v>0.0591845506582624</v>
      </c>
      <c r="AG121" s="1"/>
      <c r="AH121" s="1"/>
      <c r="AI121" s="1"/>
      <c r="AJ121" s="1"/>
      <c r="AK121" s="1"/>
      <c r="AL121" s="54">
        <v>0.057319792842157935</v>
      </c>
      <c r="AM121" s="1"/>
      <c r="AN121" s="1"/>
      <c r="AO121" s="1"/>
      <c r="AP121" s="1"/>
      <c r="AQ121" s="1"/>
      <c r="AR121" s="54">
        <v>0.05535216647816668</v>
      </c>
      <c r="AS121" s="1"/>
      <c r="AT121" s="1"/>
      <c r="AU121" s="1"/>
      <c r="AV121" s="1"/>
      <c r="AW121" s="1"/>
      <c r="AX121" s="54">
        <v>0.05331667396914748</v>
      </c>
      <c r="AY121" s="1"/>
      <c r="AZ121" s="1"/>
      <c r="BA121" s="1"/>
      <c r="BB121" s="1"/>
      <c r="BC121" s="1"/>
      <c r="BD121" s="54">
        <v>0.051234942498182424</v>
      </c>
      <c r="BJ121" s="55">
        <v>0.06687600154248806</v>
      </c>
      <c r="BL121" s="19">
        <v>75</v>
      </c>
    </row>
    <row r="122" spans="1:64" ht="12.75">
      <c r="A122" s="19">
        <v>80</v>
      </c>
      <c r="B122" s="54">
        <v>0.11039536688454028</v>
      </c>
      <c r="C122" s="1"/>
      <c r="D122" s="1"/>
      <c r="E122" s="1"/>
      <c r="F122" s="1"/>
      <c r="G122" s="1"/>
      <c r="H122" s="54">
        <v>0.1096673144402412</v>
      </c>
      <c r="I122" s="1"/>
      <c r="J122" s="1"/>
      <c r="K122" s="1"/>
      <c r="L122" s="1"/>
      <c r="M122" s="1"/>
      <c r="N122" s="54">
        <v>0.10920782943834323</v>
      </c>
      <c r="O122" s="1"/>
      <c r="P122" s="1"/>
      <c r="Q122" s="1"/>
      <c r="R122" s="1"/>
      <c r="S122" s="1"/>
      <c r="T122" s="54">
        <v>0.10726817843387071</v>
      </c>
      <c r="U122" s="1"/>
      <c r="V122" s="1"/>
      <c r="W122" s="1"/>
      <c r="X122" s="1"/>
      <c r="Y122" s="1"/>
      <c r="Z122" s="54">
        <v>0.10524406594213512</v>
      </c>
      <c r="AA122" s="1"/>
      <c r="AB122" s="1"/>
      <c r="AC122" s="1"/>
      <c r="AD122" s="1"/>
      <c r="AE122" s="1"/>
      <c r="AF122" s="54">
        <v>0.10302876567057685</v>
      </c>
      <c r="AG122" s="1"/>
      <c r="AH122" s="1"/>
      <c r="AI122" s="1"/>
      <c r="AJ122" s="1"/>
      <c r="AK122" s="1"/>
      <c r="AL122" s="54">
        <v>0.10063091224812644</v>
      </c>
      <c r="AM122" s="1"/>
      <c r="AN122" s="1"/>
      <c r="AO122" s="1"/>
      <c r="AP122" s="1"/>
      <c r="AQ122" s="1"/>
      <c r="AR122" s="54">
        <v>0.0980715173420066</v>
      </c>
      <c r="AS122" s="1"/>
      <c r="AT122" s="1"/>
      <c r="AU122" s="1"/>
      <c r="AV122" s="1"/>
      <c r="AW122" s="1"/>
      <c r="AX122" s="54">
        <v>0.09539100570086437</v>
      </c>
      <c r="AY122" s="1"/>
      <c r="AZ122" s="1"/>
      <c r="BA122" s="1"/>
      <c r="BB122" s="1"/>
      <c r="BC122" s="1"/>
      <c r="BD122" s="54">
        <v>0.09261363719409033</v>
      </c>
      <c r="BJ122" s="55">
        <v>0.11265308752398268</v>
      </c>
      <c r="BL122" s="19">
        <v>80</v>
      </c>
    </row>
    <row r="123" spans="1:64" ht="12.75">
      <c r="A123" s="19">
        <v>85</v>
      </c>
      <c r="B123" s="54">
        <v>0</v>
      </c>
      <c r="C123" s="1"/>
      <c r="D123" s="1"/>
      <c r="E123" s="1"/>
      <c r="F123" s="1"/>
      <c r="G123" s="1"/>
      <c r="H123" s="54">
        <v>0</v>
      </c>
      <c r="I123" s="1"/>
      <c r="J123" s="1"/>
      <c r="K123" s="1"/>
      <c r="L123" s="1"/>
      <c r="M123" s="1"/>
      <c r="N123" s="54">
        <v>0</v>
      </c>
      <c r="O123" s="1"/>
      <c r="P123" s="1"/>
      <c r="Q123" s="1"/>
      <c r="R123" s="1"/>
      <c r="S123" s="1"/>
      <c r="T123" s="54">
        <v>0</v>
      </c>
      <c r="U123" s="1"/>
      <c r="V123" s="1"/>
      <c r="W123" s="1"/>
      <c r="X123" s="1"/>
      <c r="Y123" s="1"/>
      <c r="Z123" s="54">
        <v>0</v>
      </c>
      <c r="AA123" s="1"/>
      <c r="AB123" s="1"/>
      <c r="AC123" s="1"/>
      <c r="AD123" s="1"/>
      <c r="AE123" s="1"/>
      <c r="AF123" s="54">
        <v>0</v>
      </c>
      <c r="AG123" s="1"/>
      <c r="AH123" s="1"/>
      <c r="AI123" s="1"/>
      <c r="AJ123" s="1"/>
      <c r="AK123" s="1"/>
      <c r="AL123" s="54">
        <v>0</v>
      </c>
      <c r="AM123" s="1"/>
      <c r="AN123" s="1"/>
      <c r="AO123" s="1"/>
      <c r="AP123" s="1"/>
      <c r="AQ123" s="1"/>
      <c r="AR123" s="54">
        <v>0</v>
      </c>
      <c r="AS123" s="1"/>
      <c r="AT123" s="1"/>
      <c r="AU123" s="1"/>
      <c r="AV123" s="1"/>
      <c r="AW123" s="1"/>
      <c r="AX123" s="54">
        <v>0</v>
      </c>
      <c r="AY123" s="1"/>
      <c r="AZ123" s="1"/>
      <c r="BA123" s="1"/>
      <c r="BB123" s="1"/>
      <c r="BC123" s="1"/>
      <c r="BD123" s="54">
        <v>0</v>
      </c>
      <c r="BJ123" s="55">
        <v>0</v>
      </c>
      <c r="BL123" s="19">
        <v>85</v>
      </c>
    </row>
    <row r="124" spans="1:64" ht="12.75">
      <c r="A124" t="s">
        <v>135</v>
      </c>
      <c r="B124" s="1"/>
      <c r="C124" s="1"/>
      <c r="D124" s="1"/>
      <c r="E124" s="26">
        <f>SUM(E125:E132)*5</f>
        <v>7052878.435121984</v>
      </c>
      <c r="F124" s="1"/>
      <c r="G124" s="1"/>
      <c r="H124" s="1"/>
      <c r="I124" s="1"/>
      <c r="J124" s="1"/>
      <c r="K124" s="26">
        <f>SUM(K125:K132)*5</f>
        <v>7576735.780826899</v>
      </c>
      <c r="L124" s="1"/>
      <c r="M124" s="1"/>
      <c r="N124" s="1"/>
      <c r="O124" s="1"/>
      <c r="P124" s="1"/>
      <c r="Q124" s="26">
        <f>SUM(Q125:Q132)*5</f>
        <v>7182517.42401274</v>
      </c>
      <c r="R124" s="1"/>
      <c r="S124" s="1"/>
      <c r="T124" s="1"/>
      <c r="U124" s="1"/>
      <c r="V124" s="1"/>
      <c r="W124" s="26">
        <f>SUM(W125:W132)*5</f>
        <v>6162367.430350548</v>
      </c>
      <c r="X124" s="1"/>
      <c r="Y124" s="1"/>
      <c r="Z124" s="1"/>
      <c r="AA124" s="1"/>
      <c r="AB124" s="1"/>
      <c r="AC124" s="56">
        <f>SUM(AC125:AC132)*5</f>
        <v>5279690.542842252</v>
      </c>
      <c r="AD124" s="1"/>
      <c r="AE124" s="1"/>
      <c r="AF124" s="1"/>
      <c r="AG124" s="1"/>
      <c r="AH124" s="1"/>
      <c r="AI124" s="26">
        <f>SUM(AI125:AI132)*5</f>
        <v>4909659.349335771</v>
      </c>
      <c r="AJ124" s="1"/>
      <c r="AK124" s="1"/>
      <c r="AL124" s="1"/>
      <c r="AM124" s="1"/>
      <c r="AN124" s="1"/>
      <c r="AO124" s="26">
        <f>SUM(AO125:AO132)*5</f>
        <v>4832729.642735244</v>
      </c>
      <c r="AP124" s="1"/>
      <c r="AQ124" s="1"/>
      <c r="AR124" s="1"/>
      <c r="AS124" s="1"/>
      <c r="AT124" s="1"/>
      <c r="AU124" s="26">
        <f>SUM(AU125:AU132)*5</f>
        <v>4826217.34616003</v>
      </c>
      <c r="AV124" s="1"/>
      <c r="AW124" s="1"/>
      <c r="AX124" s="1"/>
      <c r="AY124" s="1"/>
      <c r="AZ124" s="1"/>
      <c r="BA124" s="26">
        <f>SUM(BA125:BA132)*5</f>
        <v>4745358.414353544</v>
      </c>
      <c r="BB124" s="1"/>
      <c r="BC124" s="1"/>
      <c r="BD124" s="1"/>
      <c r="BG124" s="3">
        <f>SUM(BG125:BG132)*5</f>
        <v>4427698.056893522</v>
      </c>
      <c r="BJ124" s="47"/>
      <c r="BL124" t="s">
        <v>135</v>
      </c>
    </row>
    <row r="125" spans="1:64" ht="12.75">
      <c r="A125" s="16" t="s">
        <v>38</v>
      </c>
      <c r="B125" s="38">
        <v>24.52713104773041</v>
      </c>
      <c r="C125" s="1"/>
      <c r="D125" s="1"/>
      <c r="E125" s="26">
        <f aca="true" t="shared" si="84" ref="E125:E132">(B29+H29)/2000*B125</f>
        <v>141376.3827252088</v>
      </c>
      <c r="F125" s="1"/>
      <c r="G125" s="1"/>
      <c r="H125" s="38">
        <v>19.69300843274889</v>
      </c>
      <c r="I125" s="1"/>
      <c r="J125" s="1"/>
      <c r="K125" s="26">
        <f aca="true" t="shared" si="85" ref="K125:K132">(H29+N29)/2000*H125</f>
        <v>92448.22004444529</v>
      </c>
      <c r="L125" s="1"/>
      <c r="M125" s="1"/>
      <c r="N125" s="38">
        <v>15.352568930110719</v>
      </c>
      <c r="O125" s="1"/>
      <c r="P125" s="1"/>
      <c r="Q125" s="26">
        <f aca="true" t="shared" si="86" ref="Q125:Q132">(N29+T29)/2000*N125</f>
        <v>52411.76669053491</v>
      </c>
      <c r="R125" s="1"/>
      <c r="S125" s="1"/>
      <c r="T125" s="38">
        <v>13.904880758882555</v>
      </c>
      <c r="U125" s="1"/>
      <c r="V125" s="1"/>
      <c r="W125" s="26">
        <f aca="true" t="shared" si="87" ref="W125:W132">(T29+Z29)/2000*T125</f>
        <v>44911.497916170374</v>
      </c>
      <c r="X125" s="1"/>
      <c r="Y125" s="1"/>
      <c r="Z125" s="38">
        <v>13.904880758882555</v>
      </c>
      <c r="AA125" s="1"/>
      <c r="AB125" s="1"/>
      <c r="AC125" s="56">
        <f aca="true" t="shared" si="88" ref="AC125:AC132">(Z29+AF29)/2000*Z125</f>
        <v>48752.367661296485</v>
      </c>
      <c r="AD125" s="1"/>
      <c r="AE125" s="1"/>
      <c r="AF125" s="38">
        <v>13.904880758882555</v>
      </c>
      <c r="AG125" s="1"/>
      <c r="AH125" s="1"/>
      <c r="AI125" s="26">
        <f aca="true" t="shared" si="89" ref="AI125:AI132">(AF29+AL29)/2000*AF125</f>
        <v>49328.48910256365</v>
      </c>
      <c r="AJ125" s="1"/>
      <c r="AK125" s="1"/>
      <c r="AL125" s="38">
        <v>13.904880758882555</v>
      </c>
      <c r="AM125" s="1"/>
      <c r="AN125" s="1"/>
      <c r="AO125" s="26">
        <f aca="true" t="shared" si="90" ref="AO125:AO132">(AL29+AR29)/2000*AL125</f>
        <v>44769.75512513971</v>
      </c>
      <c r="AP125" s="1"/>
      <c r="AQ125" s="1"/>
      <c r="AR125" s="38">
        <v>13.904880758882555</v>
      </c>
      <c r="AS125" s="1"/>
      <c r="AT125" s="1"/>
      <c r="AU125" s="26">
        <f aca="true" t="shared" si="91" ref="AU125:AU132">(AR29+AX29)/2000*AR125</f>
        <v>39617.85891428309</v>
      </c>
      <c r="AV125" s="1"/>
      <c r="AW125" s="1"/>
      <c r="AX125" s="38">
        <v>13.904880758882555</v>
      </c>
      <c r="AY125" s="1"/>
      <c r="AZ125" s="1"/>
      <c r="BA125" s="26">
        <f aca="true" t="shared" si="92" ref="BA125:BA132">(AX29+BD29)/2000*AX125</f>
        <v>37710.32289137841</v>
      </c>
      <c r="BB125" s="1"/>
      <c r="BC125" s="1"/>
      <c r="BD125" s="38">
        <v>13.904880758882555</v>
      </c>
      <c r="BG125" s="3">
        <f aca="true" t="shared" si="93" ref="BG125:BG132">(BD29+BJ29)/2000*BD125</f>
        <v>37361.64933115103</v>
      </c>
      <c r="BJ125" s="57">
        <v>27.183865684652545</v>
      </c>
      <c r="BL125" s="16" t="s">
        <v>38</v>
      </c>
    </row>
    <row r="126" spans="1:64" ht="12.75">
      <c r="A126" s="16" t="s">
        <v>39</v>
      </c>
      <c r="B126" s="38">
        <v>106.85171178030025</v>
      </c>
      <c r="C126" s="1"/>
      <c r="D126" s="1"/>
      <c r="E126" s="26">
        <f t="shared" si="84"/>
        <v>601209.47596444</v>
      </c>
      <c r="F126" s="1"/>
      <c r="G126" s="1"/>
      <c r="H126" s="38">
        <v>107.86417177233481</v>
      </c>
      <c r="I126" s="1"/>
      <c r="J126" s="1"/>
      <c r="K126" s="26">
        <f t="shared" si="85"/>
        <v>620865.2768864918</v>
      </c>
      <c r="L126" s="1"/>
      <c r="M126" s="1"/>
      <c r="N126" s="38">
        <v>103.59633165938949</v>
      </c>
      <c r="O126" s="1"/>
      <c r="P126" s="1"/>
      <c r="Q126" s="26">
        <f t="shared" si="86"/>
        <v>485947.23502695805</v>
      </c>
      <c r="R126" s="1"/>
      <c r="S126" s="1"/>
      <c r="T126" s="38">
        <v>101.47526232273118</v>
      </c>
      <c r="U126" s="1"/>
      <c r="V126" s="1"/>
      <c r="W126" s="26">
        <f t="shared" si="87"/>
        <v>346385.30219432304</v>
      </c>
      <c r="X126" s="1"/>
      <c r="Y126" s="1"/>
      <c r="Z126" s="38">
        <v>101.47526232273118</v>
      </c>
      <c r="AA126" s="1"/>
      <c r="AB126" s="1"/>
      <c r="AC126" s="56">
        <f t="shared" si="88"/>
        <v>327524.4483081049</v>
      </c>
      <c r="AD126" s="1"/>
      <c r="AE126" s="1"/>
      <c r="AF126" s="38">
        <v>101.47526232273118</v>
      </c>
      <c r="AG126" s="1"/>
      <c r="AH126" s="1"/>
      <c r="AI126" s="26">
        <f t="shared" si="89"/>
        <v>355537.86072077515</v>
      </c>
      <c r="AJ126" s="1"/>
      <c r="AK126" s="1"/>
      <c r="AL126" s="38">
        <v>101.47526232273118</v>
      </c>
      <c r="AM126" s="1"/>
      <c r="AN126" s="1"/>
      <c r="AO126" s="26">
        <f t="shared" si="90"/>
        <v>359976.2804155192</v>
      </c>
      <c r="AP126" s="1"/>
      <c r="AQ126" s="1"/>
      <c r="AR126" s="38">
        <v>101.47526232273118</v>
      </c>
      <c r="AS126" s="1"/>
      <c r="AT126" s="1"/>
      <c r="AU126" s="26">
        <f t="shared" si="91"/>
        <v>336667.65897096164</v>
      </c>
      <c r="AV126" s="1"/>
      <c r="AW126" s="1"/>
      <c r="AX126" s="38">
        <v>101.47526232273118</v>
      </c>
      <c r="AY126" s="1"/>
      <c r="AZ126" s="1"/>
      <c r="BA126" s="26">
        <f t="shared" si="92"/>
        <v>309004.2512973848</v>
      </c>
      <c r="BB126" s="1"/>
      <c r="BC126" s="1"/>
      <c r="BD126" s="38">
        <v>101.47526232273118</v>
      </c>
      <c r="BG126" s="3">
        <f t="shared" si="93"/>
        <v>285569.7649057173</v>
      </c>
      <c r="BJ126" s="57">
        <v>80.3682533375715</v>
      </c>
      <c r="BL126" s="16" t="s">
        <v>39</v>
      </c>
    </row>
    <row r="127" spans="1:64" ht="12.75">
      <c r="A127" s="16" t="s">
        <v>40</v>
      </c>
      <c r="B127" s="38">
        <v>73.3407770905954</v>
      </c>
      <c r="C127" s="1"/>
      <c r="D127" s="1"/>
      <c r="E127" s="26">
        <f t="shared" si="84"/>
        <v>382910.34305230825</v>
      </c>
      <c r="F127" s="1"/>
      <c r="G127" s="1"/>
      <c r="H127" s="38">
        <v>82.03899131754493</v>
      </c>
      <c r="I127" s="1"/>
      <c r="J127" s="1"/>
      <c r="K127" s="26">
        <f t="shared" si="85"/>
        <v>460646.0024341831</v>
      </c>
      <c r="L127" s="1"/>
      <c r="M127" s="1"/>
      <c r="N127" s="38">
        <v>86.50970246424987</v>
      </c>
      <c r="O127" s="1"/>
      <c r="P127" s="1"/>
      <c r="Q127" s="26">
        <f t="shared" si="86"/>
        <v>496888.30502037547</v>
      </c>
      <c r="R127" s="1"/>
      <c r="S127" s="1"/>
      <c r="T127" s="38">
        <v>87.76450306285045</v>
      </c>
      <c r="U127" s="1"/>
      <c r="V127" s="1"/>
      <c r="W127" s="26">
        <f t="shared" si="87"/>
        <v>411228.2237397786</v>
      </c>
      <c r="X127" s="1"/>
      <c r="Y127" s="1"/>
      <c r="Z127" s="38">
        <v>87.76450306285045</v>
      </c>
      <c r="AA127" s="1"/>
      <c r="AB127" s="1"/>
      <c r="AC127" s="56">
        <f t="shared" si="88"/>
        <v>299530.34119313105</v>
      </c>
      <c r="AD127" s="1"/>
      <c r="AE127" s="1"/>
      <c r="AF127" s="38">
        <v>87.76450306285045</v>
      </c>
      <c r="AG127" s="1"/>
      <c r="AH127" s="1"/>
      <c r="AI127" s="26">
        <f t="shared" si="89"/>
        <v>283104.309312276</v>
      </c>
      <c r="AJ127" s="1"/>
      <c r="AK127" s="1"/>
      <c r="AL127" s="38">
        <v>87.76450306285045</v>
      </c>
      <c r="AM127" s="1"/>
      <c r="AN127" s="1"/>
      <c r="AO127" s="26">
        <f t="shared" si="90"/>
        <v>307355.9933518754</v>
      </c>
      <c r="AP127" s="1"/>
      <c r="AQ127" s="1"/>
      <c r="AR127" s="38">
        <v>87.76450306285045</v>
      </c>
      <c r="AS127" s="1"/>
      <c r="AT127" s="1"/>
      <c r="AU127" s="26">
        <f t="shared" si="91"/>
        <v>321291.8059251513</v>
      </c>
      <c r="AV127" s="1"/>
      <c r="AW127" s="1"/>
      <c r="AX127" s="38">
        <v>87.76450306285045</v>
      </c>
      <c r="AY127" s="1"/>
      <c r="AZ127" s="1"/>
      <c r="BA127" s="26">
        <f t="shared" si="92"/>
        <v>311272.1894298079</v>
      </c>
      <c r="BB127" s="1"/>
      <c r="BC127" s="1"/>
      <c r="BD127" s="38">
        <v>87.76450306285045</v>
      </c>
      <c r="BG127" s="3">
        <f t="shared" si="93"/>
        <v>277634.0101582728</v>
      </c>
      <c r="BJ127" s="57">
        <v>54.66699516774169</v>
      </c>
      <c r="BL127" s="16" t="s">
        <v>40</v>
      </c>
    </row>
    <row r="128" spans="1:64" ht="12.75">
      <c r="A128" s="16" t="s">
        <v>41</v>
      </c>
      <c r="B128" s="38">
        <v>38.42075634578544</v>
      </c>
      <c r="C128" s="1"/>
      <c r="D128" s="1"/>
      <c r="E128" s="26">
        <f t="shared" si="84"/>
        <v>186590.34714606788</v>
      </c>
      <c r="F128" s="1"/>
      <c r="G128" s="1"/>
      <c r="H128" s="38">
        <v>45.22320883151226</v>
      </c>
      <c r="I128" s="1"/>
      <c r="J128" s="1"/>
      <c r="K128" s="26">
        <f t="shared" si="85"/>
        <v>235396.0829875083</v>
      </c>
      <c r="L128" s="1"/>
      <c r="M128" s="1"/>
      <c r="N128" s="38">
        <v>49.93850283241461</v>
      </c>
      <c r="O128" s="1"/>
      <c r="P128" s="1"/>
      <c r="Q128" s="26">
        <f t="shared" si="86"/>
        <v>279477.03237699025</v>
      </c>
      <c r="R128" s="1"/>
      <c r="S128" s="1"/>
      <c r="T128" s="38">
        <v>51.544845044953775</v>
      </c>
      <c r="U128" s="1"/>
      <c r="V128" s="1"/>
      <c r="W128" s="26">
        <f t="shared" si="87"/>
        <v>295208.5139562027</v>
      </c>
      <c r="X128" s="1"/>
      <c r="Y128" s="1"/>
      <c r="Z128" s="38">
        <v>51.544845044953775</v>
      </c>
      <c r="AA128" s="1"/>
      <c r="AB128" s="1"/>
      <c r="AC128" s="56">
        <f t="shared" si="88"/>
        <v>241108.73092197685</v>
      </c>
      <c r="AD128" s="1"/>
      <c r="AE128" s="1"/>
      <c r="AF128" s="38">
        <v>51.544845044953775</v>
      </c>
      <c r="AG128" s="1"/>
      <c r="AH128" s="1"/>
      <c r="AI128" s="26">
        <f t="shared" si="89"/>
        <v>175802.95403254282</v>
      </c>
      <c r="AJ128" s="1"/>
      <c r="AK128" s="1"/>
      <c r="AL128" s="38">
        <v>51.544845044953775</v>
      </c>
      <c r="AM128" s="1"/>
      <c r="AN128" s="1"/>
      <c r="AO128" s="26">
        <f t="shared" si="90"/>
        <v>166120.1574289686</v>
      </c>
      <c r="AP128" s="1"/>
      <c r="AQ128" s="1"/>
      <c r="AR128" s="38">
        <v>51.544845044953775</v>
      </c>
      <c r="AS128" s="1"/>
      <c r="AT128" s="1"/>
      <c r="AU128" s="26">
        <f t="shared" si="91"/>
        <v>185873.74154383916</v>
      </c>
      <c r="AV128" s="1"/>
      <c r="AW128" s="1"/>
      <c r="AX128" s="38">
        <v>51.544845044953775</v>
      </c>
      <c r="AY128" s="1"/>
      <c r="AZ128" s="1"/>
      <c r="BA128" s="26">
        <f t="shared" si="92"/>
        <v>199689.93531948954</v>
      </c>
      <c r="BB128" s="1"/>
      <c r="BC128" s="1"/>
      <c r="BD128" s="38">
        <v>51.544845044953775</v>
      </c>
      <c r="BG128" s="3">
        <f t="shared" si="93"/>
        <v>188408.82983940042</v>
      </c>
      <c r="BJ128" s="57">
        <v>26.66134438400272</v>
      </c>
      <c r="BL128" s="16" t="s">
        <v>41</v>
      </c>
    </row>
    <row r="129" spans="1:64" ht="12.75">
      <c r="A129" s="16" t="s">
        <v>42</v>
      </c>
      <c r="B129" s="38">
        <v>15.286055270124695</v>
      </c>
      <c r="C129" s="1"/>
      <c r="D129" s="1"/>
      <c r="E129" s="26">
        <f t="shared" si="84"/>
        <v>78572.20536140563</v>
      </c>
      <c r="F129" s="1"/>
      <c r="G129" s="1"/>
      <c r="H129" s="38">
        <v>18.034191885612028</v>
      </c>
      <c r="I129" s="1"/>
      <c r="J129" s="1"/>
      <c r="K129" s="26">
        <f t="shared" si="85"/>
        <v>87198.34674006434</v>
      </c>
      <c r="L129" s="1"/>
      <c r="M129" s="1"/>
      <c r="N129" s="38">
        <v>19.958815834568735</v>
      </c>
      <c r="O129" s="1"/>
      <c r="P129" s="1"/>
      <c r="Q129" s="26">
        <f t="shared" si="86"/>
        <v>103337.97515887799</v>
      </c>
      <c r="R129" s="1"/>
      <c r="S129" s="1"/>
      <c r="T129" s="38">
        <v>20.618599459508477</v>
      </c>
      <c r="U129" s="1"/>
      <c r="V129" s="1"/>
      <c r="W129" s="26">
        <f t="shared" si="87"/>
        <v>114813.39247399576</v>
      </c>
      <c r="X129" s="1"/>
      <c r="Y129" s="1"/>
      <c r="Z129" s="38">
        <v>20.618599459508477</v>
      </c>
      <c r="AA129" s="1"/>
      <c r="AB129" s="1"/>
      <c r="AC129" s="56">
        <f t="shared" si="88"/>
        <v>117578.10968582901</v>
      </c>
      <c r="AD129" s="1"/>
      <c r="AE129" s="1"/>
      <c r="AF129" s="38">
        <v>20.618599459508477</v>
      </c>
      <c r="AG129" s="1"/>
      <c r="AH129" s="1"/>
      <c r="AI129" s="26">
        <f t="shared" si="89"/>
        <v>96151.77236519888</v>
      </c>
      <c r="AJ129" s="1"/>
      <c r="AK129" s="1"/>
      <c r="AL129" s="38">
        <v>20.618599459508477</v>
      </c>
      <c r="AM129" s="1"/>
      <c r="AN129" s="1"/>
      <c r="AO129" s="26">
        <f t="shared" si="90"/>
        <v>70189.83747671005</v>
      </c>
      <c r="AP129" s="1"/>
      <c r="AQ129" s="1"/>
      <c r="AR129" s="38">
        <v>20.618599459508477</v>
      </c>
      <c r="AS129" s="1"/>
      <c r="AT129" s="1"/>
      <c r="AU129" s="26">
        <f t="shared" si="91"/>
        <v>68184.05522252338</v>
      </c>
      <c r="AV129" s="1"/>
      <c r="AW129" s="1"/>
      <c r="AX129" s="38">
        <v>20.618599459508477</v>
      </c>
      <c r="AY129" s="1"/>
      <c r="AZ129" s="1"/>
      <c r="BA129" s="26">
        <f t="shared" si="92"/>
        <v>77961.55993698364</v>
      </c>
      <c r="BB129" s="1"/>
      <c r="BC129" s="1"/>
      <c r="BD129" s="38">
        <v>20.618599459508477</v>
      </c>
      <c r="BG129" s="3">
        <f t="shared" si="93"/>
        <v>81642.05619361698</v>
      </c>
      <c r="BJ129" s="57">
        <v>9.17733998753387</v>
      </c>
      <c r="BL129" s="16" t="s">
        <v>42</v>
      </c>
    </row>
    <row r="130" spans="1:64" ht="12.75">
      <c r="A130" s="16" t="s">
        <v>43</v>
      </c>
      <c r="B130" s="38">
        <v>3.1724535945001566</v>
      </c>
      <c r="C130" s="1"/>
      <c r="D130" s="1"/>
      <c r="E130" s="26">
        <f t="shared" si="84"/>
        <v>19098.51410884019</v>
      </c>
      <c r="F130" s="1"/>
      <c r="G130" s="1"/>
      <c r="H130" s="38">
        <v>3.545909753842328</v>
      </c>
      <c r="I130" s="1"/>
      <c r="J130" s="1"/>
      <c r="K130" s="26">
        <f t="shared" si="85"/>
        <v>18071.74261078106</v>
      </c>
      <c r="L130" s="1"/>
      <c r="M130" s="1"/>
      <c r="N130" s="38">
        <v>3.7367002123705326</v>
      </c>
      <c r="O130" s="1"/>
      <c r="P130" s="1"/>
      <c r="Q130" s="26">
        <f t="shared" si="86"/>
        <v>17902.408937122702</v>
      </c>
      <c r="R130" s="1"/>
      <c r="S130" s="1"/>
      <c r="T130" s="38">
        <v>3.790030150012074</v>
      </c>
      <c r="U130" s="1"/>
      <c r="V130" s="1"/>
      <c r="W130" s="26">
        <f t="shared" si="87"/>
        <v>19445.889414394725</v>
      </c>
      <c r="X130" s="1"/>
      <c r="Y130" s="1"/>
      <c r="Z130" s="38">
        <v>3.790030150012074</v>
      </c>
      <c r="AA130" s="1"/>
      <c r="AB130" s="1"/>
      <c r="AC130" s="56">
        <f t="shared" si="88"/>
        <v>20928.997138626004</v>
      </c>
      <c r="AD130" s="1"/>
      <c r="AE130" s="1"/>
      <c r="AF130" s="38">
        <v>3.790030150012074</v>
      </c>
      <c r="AG130" s="1"/>
      <c r="AH130" s="1"/>
      <c r="AI130" s="26">
        <f t="shared" si="89"/>
        <v>21451.524127172877</v>
      </c>
      <c r="AJ130" s="1"/>
      <c r="AK130" s="1"/>
      <c r="AL130" s="38">
        <v>3.790030150012074</v>
      </c>
      <c r="AM130" s="1"/>
      <c r="AN130" s="1"/>
      <c r="AO130" s="26">
        <f t="shared" si="90"/>
        <v>17564.451617599287</v>
      </c>
      <c r="AP130" s="1"/>
      <c r="AQ130" s="1"/>
      <c r="AR130" s="38">
        <v>3.790030150012074</v>
      </c>
      <c r="AS130" s="1"/>
      <c r="AT130" s="1"/>
      <c r="AU130" s="26">
        <f t="shared" si="91"/>
        <v>13134.309097167468</v>
      </c>
      <c r="AV130" s="1"/>
      <c r="AW130" s="1"/>
      <c r="AX130" s="38">
        <v>3.790030150012074</v>
      </c>
      <c r="AY130" s="1"/>
      <c r="AZ130" s="1"/>
      <c r="BA130" s="26">
        <f t="shared" si="92"/>
        <v>13069.670341311084</v>
      </c>
      <c r="BB130" s="1"/>
      <c r="BC130" s="1"/>
      <c r="BD130" s="38">
        <v>3.790030150012074</v>
      </c>
      <c r="BG130" s="3">
        <f t="shared" si="93"/>
        <v>14568.16299891373</v>
      </c>
      <c r="BJ130" s="57">
        <v>1.8467362187321972</v>
      </c>
      <c r="BL130" s="16" t="s">
        <v>43</v>
      </c>
    </row>
    <row r="131" spans="1:64" ht="12.75">
      <c r="A131" s="16" t="s">
        <v>44</v>
      </c>
      <c r="B131" s="38">
        <v>0.1325008775917319</v>
      </c>
      <c r="C131" s="1"/>
      <c r="D131" s="1"/>
      <c r="E131" s="26">
        <f t="shared" si="84"/>
        <v>818.4186523260207</v>
      </c>
      <c r="F131" s="1"/>
      <c r="G131" s="1"/>
      <c r="H131" s="38">
        <v>0.12174007435136175</v>
      </c>
      <c r="I131" s="1"/>
      <c r="J131" s="1"/>
      <c r="K131" s="26">
        <f t="shared" si="85"/>
        <v>721.4844466448795</v>
      </c>
      <c r="L131" s="1"/>
      <c r="M131" s="1"/>
      <c r="N131" s="38">
        <v>0.10737405286979543</v>
      </c>
      <c r="O131" s="1"/>
      <c r="P131" s="1"/>
      <c r="Q131" s="26">
        <f t="shared" si="86"/>
        <v>538.7615770432325</v>
      </c>
      <c r="R131" s="1"/>
      <c r="S131" s="1"/>
      <c r="T131" s="38">
        <v>0.10187517915576934</v>
      </c>
      <c r="U131" s="1"/>
      <c r="V131" s="1"/>
      <c r="W131" s="26">
        <f t="shared" si="87"/>
        <v>480.66636283368655</v>
      </c>
      <c r="X131" s="1"/>
      <c r="Y131" s="1"/>
      <c r="Z131" s="38">
        <v>0.10187517915576934</v>
      </c>
      <c r="AA131" s="1"/>
      <c r="AB131" s="1"/>
      <c r="AC131" s="56">
        <f t="shared" si="88"/>
        <v>515.11364780285</v>
      </c>
      <c r="AD131" s="1"/>
      <c r="AE131" s="1"/>
      <c r="AF131" s="38">
        <v>0.10187517915576934</v>
      </c>
      <c r="AG131" s="1"/>
      <c r="AH131" s="1"/>
      <c r="AI131" s="26">
        <f t="shared" si="89"/>
        <v>554.9601940903136</v>
      </c>
      <c r="AJ131" s="1"/>
      <c r="AK131" s="1"/>
      <c r="AL131" s="38">
        <v>0.10187517915576934</v>
      </c>
      <c r="AM131" s="1"/>
      <c r="AN131" s="1"/>
      <c r="AO131" s="26">
        <f t="shared" si="90"/>
        <v>569.453117713297</v>
      </c>
      <c r="AP131" s="1"/>
      <c r="AQ131" s="1"/>
      <c r="AR131" s="38">
        <v>0.10187517915576934</v>
      </c>
      <c r="AS131" s="1"/>
      <c r="AT131" s="1"/>
      <c r="AU131" s="26">
        <f t="shared" si="91"/>
        <v>474.03954402013284</v>
      </c>
      <c r="AV131" s="1"/>
      <c r="AW131" s="1"/>
      <c r="AX131" s="38">
        <v>0.10187517915576934</v>
      </c>
      <c r="AY131" s="1"/>
      <c r="AZ131" s="1"/>
      <c r="BA131" s="26">
        <f t="shared" si="92"/>
        <v>363.7536424443549</v>
      </c>
      <c r="BB131" s="1"/>
      <c r="BC131" s="1"/>
      <c r="BD131" s="38">
        <v>0.10187517915576934</v>
      </c>
      <c r="BG131" s="3">
        <f t="shared" si="93"/>
        <v>355.13794257040786</v>
      </c>
      <c r="BJ131" s="57">
        <v>0.09154633815959577</v>
      </c>
      <c r="BL131" s="16" t="s">
        <v>44</v>
      </c>
    </row>
    <row r="132" spans="1:64" ht="12.75">
      <c r="A132" s="16" t="s">
        <v>45</v>
      </c>
      <c r="B132" s="38">
        <v>2.5352042761323902E-09</v>
      </c>
      <c r="C132" s="1"/>
      <c r="D132" s="1"/>
      <c r="E132" s="26">
        <f t="shared" si="84"/>
        <v>1.3800058944686532E-05</v>
      </c>
      <c r="F132" s="1"/>
      <c r="G132" s="1"/>
      <c r="H132" s="38">
        <v>2.5352042761323902E-09</v>
      </c>
      <c r="I132" s="1"/>
      <c r="J132" s="1"/>
      <c r="K132" s="26">
        <f t="shared" si="85"/>
        <v>1.5261073509149128E-05</v>
      </c>
      <c r="L132" s="1"/>
      <c r="M132" s="1"/>
      <c r="N132" s="38">
        <v>2.5352042761323902E-09</v>
      </c>
      <c r="O132" s="1"/>
      <c r="P132" s="1"/>
      <c r="Q132" s="26">
        <f t="shared" si="86"/>
        <v>1.464579992947289E-05</v>
      </c>
      <c r="R132" s="1"/>
      <c r="S132" s="1"/>
      <c r="T132" s="38">
        <v>2.5352042761323902E-09</v>
      </c>
      <c r="U132" s="1"/>
      <c r="V132" s="1"/>
      <c r="W132" s="26">
        <f t="shared" si="87"/>
        <v>1.2410472680088578E-05</v>
      </c>
      <c r="X132" s="1"/>
      <c r="Y132" s="1"/>
      <c r="Z132" s="38">
        <v>2.5352042761323902E-09</v>
      </c>
      <c r="AA132" s="1"/>
      <c r="AB132" s="1"/>
      <c r="AC132" s="56">
        <f t="shared" si="88"/>
        <v>1.1683120307192065E-05</v>
      </c>
      <c r="AD132" s="1"/>
      <c r="AE132" s="1"/>
      <c r="AF132" s="38">
        <v>2.5352042761323902E-09</v>
      </c>
      <c r="AG132" s="1"/>
      <c r="AH132" s="1"/>
      <c r="AI132" s="26">
        <f t="shared" si="89"/>
        <v>1.253451882315387E-05</v>
      </c>
      <c r="AJ132" s="1"/>
      <c r="AK132" s="1"/>
      <c r="AL132" s="38">
        <v>2.5352042761323902E-09</v>
      </c>
      <c r="AM132" s="1"/>
      <c r="AN132" s="1"/>
      <c r="AO132" s="26">
        <f t="shared" si="90"/>
        <v>1.3523182267961707E-05</v>
      </c>
      <c r="AP132" s="1"/>
      <c r="AQ132" s="1"/>
      <c r="AR132" s="38">
        <v>2.5352042761323902E-09</v>
      </c>
      <c r="AS132" s="1"/>
      <c r="AT132" s="1"/>
      <c r="AU132" s="26">
        <f t="shared" si="91"/>
        <v>1.4059823996124917E-05</v>
      </c>
      <c r="AV132" s="1"/>
      <c r="AW132" s="1"/>
      <c r="AX132" s="38">
        <v>2.5352042761323902E-09</v>
      </c>
      <c r="AY132" s="1"/>
      <c r="AZ132" s="1"/>
      <c r="BA132" s="26">
        <f t="shared" si="92"/>
        <v>1.1908896574099429E-05</v>
      </c>
      <c r="BB132" s="1"/>
      <c r="BC132" s="1"/>
      <c r="BD132" s="38">
        <v>2.5352042761323902E-09</v>
      </c>
      <c r="BG132" s="3">
        <f t="shared" si="93"/>
        <v>9.06170458221121E-06</v>
      </c>
      <c r="BJ132" s="57">
        <v>3.918881605919716E-06</v>
      </c>
      <c r="BL132" s="16" t="s">
        <v>45</v>
      </c>
    </row>
    <row r="133" spans="1:64" ht="12.75">
      <c r="A133" s="16"/>
      <c r="B133" s="38"/>
      <c r="C133" s="1"/>
      <c r="D133" s="1"/>
      <c r="E133" s="1"/>
      <c r="F133" s="1"/>
      <c r="G133" s="1"/>
      <c r="H133" s="38"/>
      <c r="I133" s="1"/>
      <c r="J133" s="1"/>
      <c r="K133" s="1"/>
      <c r="L133" s="1"/>
      <c r="M133" s="1"/>
      <c r="N133" s="38"/>
      <c r="O133" s="1"/>
      <c r="P133" s="1"/>
      <c r="Q133" s="1"/>
      <c r="R133" s="1"/>
      <c r="S133" s="1"/>
      <c r="T133" s="38"/>
      <c r="U133" s="1"/>
      <c r="V133" s="1"/>
      <c r="W133" s="1"/>
      <c r="X133" s="1"/>
      <c r="Y133" s="1"/>
      <c r="Z133" s="38"/>
      <c r="AA133" s="1"/>
      <c r="AB133" s="1"/>
      <c r="AC133" s="1"/>
      <c r="AD133" s="1"/>
      <c r="AE133" s="1"/>
      <c r="AF133" s="38"/>
      <c r="AG133" s="1"/>
      <c r="AH133" s="1"/>
      <c r="AI133" s="1"/>
      <c r="AJ133" s="1"/>
      <c r="AK133" s="1"/>
      <c r="AL133" s="38"/>
      <c r="AM133" s="1"/>
      <c r="AN133" s="1"/>
      <c r="AO133" s="1"/>
      <c r="AP133" s="1"/>
      <c r="AQ133" s="1"/>
      <c r="AR133" s="38"/>
      <c r="AS133" s="1"/>
      <c r="AT133" s="1"/>
      <c r="AU133" s="1"/>
      <c r="AV133" s="1"/>
      <c r="AW133" s="1"/>
      <c r="AX133" s="38"/>
      <c r="AY133" s="1"/>
      <c r="AZ133" s="1"/>
      <c r="BA133" s="1"/>
      <c r="BB133" s="1"/>
      <c r="BC133" s="1"/>
      <c r="BD133" s="38"/>
      <c r="BJ133" s="47"/>
      <c r="BL133" s="16"/>
    </row>
    <row r="134" spans="2:6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J134" s="47"/>
    </row>
    <row r="135" spans="1:64" ht="12.75">
      <c r="A135" t="s">
        <v>56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J135" s="47"/>
      <c r="BL135" t="s">
        <v>56</v>
      </c>
    </row>
    <row r="136" spans="1:64" ht="12.75">
      <c r="A136" t="s">
        <v>57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J136" s="47"/>
      <c r="BL136" t="s">
        <v>57</v>
      </c>
    </row>
    <row r="137" spans="1:64" ht="12.75">
      <c r="A137" s="13" t="s">
        <v>21</v>
      </c>
      <c r="B137" s="58">
        <v>1.7397063091973985</v>
      </c>
      <c r="C137" s="1"/>
      <c r="D137" s="1"/>
      <c r="E137" s="1"/>
      <c r="F137" s="1"/>
      <c r="G137" s="1"/>
      <c r="H137" s="58">
        <v>1.7397063091973985</v>
      </c>
      <c r="I137" s="1"/>
      <c r="J137" s="1"/>
      <c r="K137" s="1"/>
      <c r="L137" s="1"/>
      <c r="M137" s="1"/>
      <c r="N137" s="58">
        <v>1.7397063091973985</v>
      </c>
      <c r="O137" s="1"/>
      <c r="P137" s="1"/>
      <c r="Q137" s="1"/>
      <c r="R137" s="1"/>
      <c r="S137" s="1"/>
      <c r="T137" s="58">
        <v>1.7397063091973985</v>
      </c>
      <c r="U137" s="1"/>
      <c r="V137" s="1"/>
      <c r="W137" s="1"/>
      <c r="X137" s="1"/>
      <c r="Y137" s="1"/>
      <c r="Z137" s="58">
        <v>1.7397063091973985</v>
      </c>
      <c r="AA137" s="1"/>
      <c r="AB137" s="1"/>
      <c r="AC137" s="1"/>
      <c r="AD137" s="1"/>
      <c r="AE137" s="1"/>
      <c r="AF137" s="58">
        <v>1.7397063091973985</v>
      </c>
      <c r="AG137" s="1"/>
      <c r="AH137" s="1"/>
      <c r="AI137" s="1"/>
      <c r="AJ137" s="1"/>
      <c r="AK137" s="1"/>
      <c r="AL137" s="58">
        <v>1.7397063091973985</v>
      </c>
      <c r="AM137" s="1"/>
      <c r="AN137" s="1"/>
      <c r="AO137" s="1"/>
      <c r="AP137" s="1"/>
      <c r="AQ137" s="1"/>
      <c r="AR137" s="58">
        <v>1.7397063091973985</v>
      </c>
      <c r="AS137" s="1"/>
      <c r="AT137" s="1"/>
      <c r="AU137" s="1"/>
      <c r="AV137" s="1"/>
      <c r="AW137" s="1"/>
      <c r="AX137" s="58">
        <v>1.7397063091973985</v>
      </c>
      <c r="AY137" s="1"/>
      <c r="AZ137" s="1"/>
      <c r="BA137" s="1"/>
      <c r="BB137" s="1"/>
      <c r="BC137" s="1"/>
      <c r="BD137" s="58">
        <v>1.7397063091973985</v>
      </c>
      <c r="BJ137" s="59">
        <v>1.7397063091973985</v>
      </c>
      <c r="BL137" s="13" t="s">
        <v>21</v>
      </c>
    </row>
    <row r="138" spans="1:64" ht="12.75">
      <c r="A138" s="16" t="s">
        <v>33</v>
      </c>
      <c r="B138" s="58">
        <v>1.568126520222322</v>
      </c>
      <c r="C138" s="1"/>
      <c r="D138" s="1"/>
      <c r="E138" s="1"/>
      <c r="F138" s="1"/>
      <c r="G138" s="1"/>
      <c r="H138" s="58">
        <v>1.568126520222322</v>
      </c>
      <c r="I138" s="1"/>
      <c r="J138" s="1"/>
      <c r="K138" s="1"/>
      <c r="L138" s="1"/>
      <c r="M138" s="1"/>
      <c r="N138" s="58">
        <v>1.568126520222322</v>
      </c>
      <c r="O138" s="1"/>
      <c r="P138" s="1"/>
      <c r="Q138" s="1"/>
      <c r="R138" s="1"/>
      <c r="S138" s="1"/>
      <c r="T138" s="58">
        <v>1.568126520222322</v>
      </c>
      <c r="U138" s="1"/>
      <c r="V138" s="1"/>
      <c r="W138" s="1"/>
      <c r="X138" s="1"/>
      <c r="Y138" s="1"/>
      <c r="Z138" s="58">
        <v>1.568126520222322</v>
      </c>
      <c r="AA138" s="1"/>
      <c r="AB138" s="1"/>
      <c r="AC138" s="1"/>
      <c r="AD138" s="1"/>
      <c r="AE138" s="1"/>
      <c r="AF138" s="58">
        <v>1.568126520222322</v>
      </c>
      <c r="AG138" s="1"/>
      <c r="AH138" s="1"/>
      <c r="AI138" s="1"/>
      <c r="AJ138" s="1"/>
      <c r="AK138" s="1"/>
      <c r="AL138" s="58">
        <v>1.568126520222322</v>
      </c>
      <c r="AM138" s="1"/>
      <c r="AN138" s="1"/>
      <c r="AO138" s="1"/>
      <c r="AP138" s="1"/>
      <c r="AQ138" s="1"/>
      <c r="AR138" s="58">
        <v>1.568126520222322</v>
      </c>
      <c r="AS138" s="1"/>
      <c r="AT138" s="1"/>
      <c r="AU138" s="1"/>
      <c r="AV138" s="1"/>
      <c r="AW138" s="1"/>
      <c r="AX138" s="58">
        <v>1.568126520222322</v>
      </c>
      <c r="AY138" s="1"/>
      <c r="AZ138" s="1"/>
      <c r="BA138" s="1"/>
      <c r="BB138" s="1"/>
      <c r="BC138" s="1"/>
      <c r="BD138" s="58">
        <v>1.568126520222322</v>
      </c>
      <c r="BJ138" s="59">
        <v>1.568126520222322</v>
      </c>
      <c r="BL138" s="16" t="s">
        <v>33</v>
      </c>
    </row>
    <row r="139" spans="1:64" ht="12.75">
      <c r="A139" s="16" t="s">
        <v>37</v>
      </c>
      <c r="B139" s="58">
        <v>1.210237926236678</v>
      </c>
      <c r="C139" s="1"/>
      <c r="D139" s="1"/>
      <c r="E139" s="1"/>
      <c r="F139" s="1"/>
      <c r="G139" s="1"/>
      <c r="H139" s="58">
        <v>1.210237926236678</v>
      </c>
      <c r="I139" s="1"/>
      <c r="J139" s="1"/>
      <c r="K139" s="1"/>
      <c r="L139" s="1"/>
      <c r="M139" s="1"/>
      <c r="N139" s="58">
        <v>1.210237926236678</v>
      </c>
      <c r="O139" s="1"/>
      <c r="P139" s="1"/>
      <c r="Q139" s="1"/>
      <c r="R139" s="1"/>
      <c r="S139" s="1"/>
      <c r="T139" s="58">
        <v>1.210237926236678</v>
      </c>
      <c r="U139" s="1"/>
      <c r="V139" s="1"/>
      <c r="W139" s="1"/>
      <c r="X139" s="1"/>
      <c r="Y139" s="1"/>
      <c r="Z139" s="58">
        <v>1.210237926236678</v>
      </c>
      <c r="AA139" s="1"/>
      <c r="AB139" s="1"/>
      <c r="AC139" s="1"/>
      <c r="AD139" s="1"/>
      <c r="AE139" s="1"/>
      <c r="AF139" s="58">
        <v>1.210237926236678</v>
      </c>
      <c r="AG139" s="1"/>
      <c r="AH139" s="1"/>
      <c r="AI139" s="1"/>
      <c r="AJ139" s="1"/>
      <c r="AK139" s="1"/>
      <c r="AL139" s="58">
        <v>1.210237926236678</v>
      </c>
      <c r="AM139" s="1"/>
      <c r="AN139" s="1"/>
      <c r="AO139" s="1"/>
      <c r="AP139" s="1"/>
      <c r="AQ139" s="1"/>
      <c r="AR139" s="58">
        <v>1.210237926236678</v>
      </c>
      <c r="AS139" s="1"/>
      <c r="AT139" s="1"/>
      <c r="AU139" s="1"/>
      <c r="AV139" s="1"/>
      <c r="AW139" s="1"/>
      <c r="AX139" s="58">
        <v>1.210237926236678</v>
      </c>
      <c r="AY139" s="1"/>
      <c r="AZ139" s="1"/>
      <c r="BA139" s="1"/>
      <c r="BB139" s="1"/>
      <c r="BC139" s="1"/>
      <c r="BD139" s="58">
        <v>1.210237926236678</v>
      </c>
      <c r="BJ139" s="59">
        <v>1.210237926236678</v>
      </c>
      <c r="BL139" s="16" t="s">
        <v>37</v>
      </c>
    </row>
    <row r="140" spans="1:64" ht="12.75">
      <c r="A140" s="16" t="s">
        <v>38</v>
      </c>
      <c r="B140" s="58">
        <v>1.4792462107345767</v>
      </c>
      <c r="C140" s="1"/>
      <c r="D140" s="1"/>
      <c r="E140" s="1"/>
      <c r="F140" s="1"/>
      <c r="G140" s="1"/>
      <c r="H140" s="58">
        <v>1.4792462107345767</v>
      </c>
      <c r="I140" s="1"/>
      <c r="J140" s="1"/>
      <c r="K140" s="1"/>
      <c r="L140" s="1"/>
      <c r="M140" s="1"/>
      <c r="N140" s="58">
        <v>1.4792462107345767</v>
      </c>
      <c r="O140" s="1"/>
      <c r="P140" s="1"/>
      <c r="Q140" s="1"/>
      <c r="R140" s="1"/>
      <c r="S140" s="1"/>
      <c r="T140" s="58">
        <v>1.4792462107345767</v>
      </c>
      <c r="U140" s="1"/>
      <c r="V140" s="1"/>
      <c r="W140" s="1"/>
      <c r="X140" s="1"/>
      <c r="Y140" s="1"/>
      <c r="Z140" s="58">
        <v>1.4792462107345767</v>
      </c>
      <c r="AA140" s="1"/>
      <c r="AB140" s="1"/>
      <c r="AC140" s="1"/>
      <c r="AD140" s="1"/>
      <c r="AE140" s="1"/>
      <c r="AF140" s="58">
        <v>1.4792462107345767</v>
      </c>
      <c r="AG140" s="1"/>
      <c r="AH140" s="1"/>
      <c r="AI140" s="1"/>
      <c r="AJ140" s="1"/>
      <c r="AK140" s="1"/>
      <c r="AL140" s="58">
        <v>1.4792462107345767</v>
      </c>
      <c r="AM140" s="1"/>
      <c r="AN140" s="1"/>
      <c r="AO140" s="1"/>
      <c r="AP140" s="1"/>
      <c r="AQ140" s="1"/>
      <c r="AR140" s="58">
        <v>1.4792462107345767</v>
      </c>
      <c r="AS140" s="1"/>
      <c r="AT140" s="1"/>
      <c r="AU140" s="1"/>
      <c r="AV140" s="1"/>
      <c r="AW140" s="1"/>
      <c r="AX140" s="58">
        <v>1.4792462107345767</v>
      </c>
      <c r="AY140" s="1"/>
      <c r="AZ140" s="1"/>
      <c r="BA140" s="1"/>
      <c r="BB140" s="1"/>
      <c r="BC140" s="1"/>
      <c r="BD140" s="58">
        <v>1.4792462107345767</v>
      </c>
      <c r="BJ140" s="59">
        <v>1.4792462107345767</v>
      </c>
      <c r="BL140" s="16" t="s">
        <v>38</v>
      </c>
    </row>
    <row r="141" spans="1:64" ht="12.75">
      <c r="A141" s="16" t="s">
        <v>39</v>
      </c>
      <c r="B141" s="58">
        <v>2.1698459126563447</v>
      </c>
      <c r="C141" s="1"/>
      <c r="D141" s="1"/>
      <c r="E141" s="1"/>
      <c r="F141" s="1"/>
      <c r="G141" s="1"/>
      <c r="H141" s="58">
        <v>2.1698459126563447</v>
      </c>
      <c r="I141" s="1"/>
      <c r="J141" s="1"/>
      <c r="K141" s="1"/>
      <c r="L141" s="1"/>
      <c r="M141" s="1"/>
      <c r="N141" s="58">
        <v>2.1698459126563447</v>
      </c>
      <c r="O141" s="1"/>
      <c r="P141" s="1"/>
      <c r="Q141" s="1"/>
      <c r="R141" s="1"/>
      <c r="S141" s="1"/>
      <c r="T141" s="58">
        <v>2.1698459126563447</v>
      </c>
      <c r="U141" s="1"/>
      <c r="V141" s="1"/>
      <c r="W141" s="1"/>
      <c r="X141" s="1"/>
      <c r="Y141" s="1"/>
      <c r="Z141" s="58">
        <v>2.1698459126563447</v>
      </c>
      <c r="AA141" s="1"/>
      <c r="AB141" s="1"/>
      <c r="AC141" s="1"/>
      <c r="AD141" s="1"/>
      <c r="AE141" s="1"/>
      <c r="AF141" s="58">
        <v>2.1698459126563447</v>
      </c>
      <c r="AG141" s="1"/>
      <c r="AH141" s="1"/>
      <c r="AI141" s="1"/>
      <c r="AJ141" s="1"/>
      <c r="AK141" s="1"/>
      <c r="AL141" s="58">
        <v>2.1698459126563447</v>
      </c>
      <c r="AM141" s="1"/>
      <c r="AN141" s="1"/>
      <c r="AO141" s="1"/>
      <c r="AP141" s="1"/>
      <c r="AQ141" s="1"/>
      <c r="AR141" s="58">
        <v>2.1698459126563447</v>
      </c>
      <c r="AS141" s="1"/>
      <c r="AT141" s="1"/>
      <c r="AU141" s="1"/>
      <c r="AV141" s="1"/>
      <c r="AW141" s="1"/>
      <c r="AX141" s="58">
        <v>2.1698459126563447</v>
      </c>
      <c r="AY141" s="1"/>
      <c r="AZ141" s="1"/>
      <c r="BA141" s="1"/>
      <c r="BB141" s="1"/>
      <c r="BC141" s="1"/>
      <c r="BD141" s="58">
        <v>2.1698459126563447</v>
      </c>
      <c r="BJ141" s="59">
        <v>2.1698459126563447</v>
      </c>
      <c r="BL141" s="16" t="s">
        <v>39</v>
      </c>
    </row>
    <row r="142" spans="1:64" ht="12.75">
      <c r="A142" s="16" t="s">
        <v>40</v>
      </c>
      <c r="B142" s="58">
        <v>2.3638947854104484</v>
      </c>
      <c r="C142" s="1"/>
      <c r="D142" s="1"/>
      <c r="E142" s="1"/>
      <c r="F142" s="1"/>
      <c r="G142" s="1"/>
      <c r="H142" s="58">
        <v>2.3638947854104484</v>
      </c>
      <c r="I142" s="1"/>
      <c r="J142" s="1"/>
      <c r="K142" s="1"/>
      <c r="L142" s="1"/>
      <c r="M142" s="1"/>
      <c r="N142" s="58">
        <v>2.3638947854104484</v>
      </c>
      <c r="O142" s="1"/>
      <c r="P142" s="1"/>
      <c r="Q142" s="1"/>
      <c r="R142" s="1"/>
      <c r="S142" s="1"/>
      <c r="T142" s="58">
        <v>2.3638947854104484</v>
      </c>
      <c r="U142" s="1"/>
      <c r="V142" s="1"/>
      <c r="W142" s="1"/>
      <c r="X142" s="1"/>
      <c r="Y142" s="1"/>
      <c r="Z142" s="58">
        <v>2.3638947854104484</v>
      </c>
      <c r="AA142" s="1"/>
      <c r="AB142" s="1"/>
      <c r="AC142" s="1"/>
      <c r="AD142" s="1"/>
      <c r="AE142" s="1"/>
      <c r="AF142" s="58">
        <v>2.3638947854104484</v>
      </c>
      <c r="AG142" s="1"/>
      <c r="AH142" s="1"/>
      <c r="AI142" s="1"/>
      <c r="AJ142" s="1"/>
      <c r="AK142" s="1"/>
      <c r="AL142" s="58">
        <v>2.3638947854104484</v>
      </c>
      <c r="AM142" s="1"/>
      <c r="AN142" s="1"/>
      <c r="AO142" s="1"/>
      <c r="AP142" s="1"/>
      <c r="AQ142" s="1"/>
      <c r="AR142" s="58">
        <v>2.3638947854104484</v>
      </c>
      <c r="AS142" s="1"/>
      <c r="AT142" s="1"/>
      <c r="AU142" s="1"/>
      <c r="AV142" s="1"/>
      <c r="AW142" s="1"/>
      <c r="AX142" s="58">
        <v>2.3638947854104484</v>
      </c>
      <c r="AY142" s="1"/>
      <c r="AZ142" s="1"/>
      <c r="BA142" s="1"/>
      <c r="BB142" s="1"/>
      <c r="BC142" s="1"/>
      <c r="BD142" s="58">
        <v>2.3638947854104484</v>
      </c>
      <c r="BJ142" s="59">
        <v>2.3638947854104484</v>
      </c>
      <c r="BL142" s="16" t="s">
        <v>40</v>
      </c>
    </row>
    <row r="143" spans="1:64" ht="12.75">
      <c r="A143" s="16" t="s">
        <v>41</v>
      </c>
      <c r="B143" s="58">
        <v>2.1350046833105614</v>
      </c>
      <c r="C143" s="1"/>
      <c r="D143" s="1"/>
      <c r="E143" s="1"/>
      <c r="F143" s="1"/>
      <c r="G143" s="1"/>
      <c r="H143" s="58">
        <v>2.1350046833105614</v>
      </c>
      <c r="I143" s="1"/>
      <c r="J143" s="1"/>
      <c r="K143" s="1"/>
      <c r="L143" s="1"/>
      <c r="M143" s="1"/>
      <c r="N143" s="58">
        <v>2.1350046833105614</v>
      </c>
      <c r="O143" s="1"/>
      <c r="P143" s="1"/>
      <c r="Q143" s="1"/>
      <c r="R143" s="1"/>
      <c r="S143" s="1"/>
      <c r="T143" s="58">
        <v>2.1350046833105614</v>
      </c>
      <c r="U143" s="1"/>
      <c r="V143" s="1"/>
      <c r="W143" s="1"/>
      <c r="X143" s="1"/>
      <c r="Y143" s="1"/>
      <c r="Z143" s="58">
        <v>2.1350046833105614</v>
      </c>
      <c r="AA143" s="1"/>
      <c r="AB143" s="1"/>
      <c r="AC143" s="1"/>
      <c r="AD143" s="1"/>
      <c r="AE143" s="1"/>
      <c r="AF143" s="58">
        <v>2.1350046833105614</v>
      </c>
      <c r="AG143" s="1"/>
      <c r="AH143" s="1"/>
      <c r="AI143" s="1"/>
      <c r="AJ143" s="1"/>
      <c r="AK143" s="1"/>
      <c r="AL143" s="58">
        <v>2.1350046833105614</v>
      </c>
      <c r="AM143" s="1"/>
      <c r="AN143" s="1"/>
      <c r="AO143" s="1"/>
      <c r="AP143" s="1"/>
      <c r="AQ143" s="1"/>
      <c r="AR143" s="58">
        <v>2.1350046833105614</v>
      </c>
      <c r="AS143" s="1"/>
      <c r="AT143" s="1"/>
      <c r="AU143" s="1"/>
      <c r="AV143" s="1"/>
      <c r="AW143" s="1"/>
      <c r="AX143" s="58">
        <v>2.1350046833105614</v>
      </c>
      <c r="AY143" s="1"/>
      <c r="AZ143" s="1"/>
      <c r="BA143" s="1"/>
      <c r="BB143" s="1"/>
      <c r="BC143" s="1"/>
      <c r="BD143" s="58">
        <v>2.1350046833105614</v>
      </c>
      <c r="BJ143" s="59">
        <v>2.1350046833105614</v>
      </c>
      <c r="BL143" s="16" t="s">
        <v>41</v>
      </c>
    </row>
    <row r="144" spans="1:64" ht="12.75">
      <c r="A144" s="16" t="s">
        <v>42</v>
      </c>
      <c r="B144" s="58">
        <v>1.7458191502404485</v>
      </c>
      <c r="C144" s="1"/>
      <c r="D144" s="1"/>
      <c r="E144" s="1"/>
      <c r="F144" s="1"/>
      <c r="G144" s="1"/>
      <c r="H144" s="58">
        <v>1.7458191502404485</v>
      </c>
      <c r="I144" s="1"/>
      <c r="J144" s="1"/>
      <c r="K144" s="1"/>
      <c r="L144" s="1"/>
      <c r="M144" s="1"/>
      <c r="N144" s="58">
        <v>1.7458191502404485</v>
      </c>
      <c r="O144" s="1"/>
      <c r="P144" s="1"/>
      <c r="Q144" s="1"/>
      <c r="R144" s="1"/>
      <c r="S144" s="1"/>
      <c r="T144" s="58">
        <v>1.7458191502404485</v>
      </c>
      <c r="U144" s="1"/>
      <c r="V144" s="1"/>
      <c r="W144" s="1"/>
      <c r="X144" s="1"/>
      <c r="Y144" s="1"/>
      <c r="Z144" s="58">
        <v>1.7458191502404485</v>
      </c>
      <c r="AA144" s="1"/>
      <c r="AB144" s="1"/>
      <c r="AC144" s="1"/>
      <c r="AD144" s="1"/>
      <c r="AE144" s="1"/>
      <c r="AF144" s="58">
        <v>1.7458191502404485</v>
      </c>
      <c r="AG144" s="1"/>
      <c r="AH144" s="1"/>
      <c r="AI144" s="1"/>
      <c r="AJ144" s="1"/>
      <c r="AK144" s="1"/>
      <c r="AL144" s="58">
        <v>1.7458191502404485</v>
      </c>
      <c r="AM144" s="1"/>
      <c r="AN144" s="1"/>
      <c r="AO144" s="1"/>
      <c r="AP144" s="1"/>
      <c r="AQ144" s="1"/>
      <c r="AR144" s="58">
        <v>1.7458191502404485</v>
      </c>
      <c r="AS144" s="1"/>
      <c r="AT144" s="1"/>
      <c r="AU144" s="1"/>
      <c r="AV144" s="1"/>
      <c r="AW144" s="1"/>
      <c r="AX144" s="58">
        <v>1.7458191502404485</v>
      </c>
      <c r="AY144" s="1"/>
      <c r="AZ144" s="1"/>
      <c r="BA144" s="1"/>
      <c r="BB144" s="1"/>
      <c r="BC144" s="1"/>
      <c r="BD144" s="58">
        <v>1.7458191502404485</v>
      </c>
      <c r="BJ144" s="59">
        <v>1.7458191502404485</v>
      </c>
      <c r="BL144" s="16" t="s">
        <v>42</v>
      </c>
    </row>
    <row r="145" spans="1:64" ht="12.75">
      <c r="A145" s="16" t="s">
        <v>43</v>
      </c>
      <c r="B145" s="58">
        <v>1.3935298508670113</v>
      </c>
      <c r="C145" s="1"/>
      <c r="D145" s="1"/>
      <c r="E145" s="1"/>
      <c r="F145" s="1"/>
      <c r="G145" s="1"/>
      <c r="H145" s="58">
        <v>1.3935298508670113</v>
      </c>
      <c r="I145" s="1"/>
      <c r="J145" s="1"/>
      <c r="K145" s="1"/>
      <c r="L145" s="1"/>
      <c r="M145" s="1"/>
      <c r="N145" s="58">
        <v>1.3935298508670113</v>
      </c>
      <c r="O145" s="1"/>
      <c r="P145" s="1"/>
      <c r="Q145" s="1"/>
      <c r="R145" s="1"/>
      <c r="S145" s="1"/>
      <c r="T145" s="58">
        <v>1.3935298508670113</v>
      </c>
      <c r="U145" s="1"/>
      <c r="V145" s="1"/>
      <c r="W145" s="1"/>
      <c r="X145" s="1"/>
      <c r="Y145" s="1"/>
      <c r="Z145" s="58">
        <v>1.3935298508670113</v>
      </c>
      <c r="AA145" s="1"/>
      <c r="AB145" s="1"/>
      <c r="AC145" s="1"/>
      <c r="AD145" s="1"/>
      <c r="AE145" s="1"/>
      <c r="AF145" s="58">
        <v>1.3935298508670113</v>
      </c>
      <c r="AG145" s="1"/>
      <c r="AH145" s="1"/>
      <c r="AI145" s="1"/>
      <c r="AJ145" s="1"/>
      <c r="AK145" s="1"/>
      <c r="AL145" s="58">
        <v>1.3935298508670113</v>
      </c>
      <c r="AM145" s="1"/>
      <c r="AN145" s="1"/>
      <c r="AO145" s="1"/>
      <c r="AP145" s="1"/>
      <c r="AQ145" s="1"/>
      <c r="AR145" s="58">
        <v>1.3935298508670113</v>
      </c>
      <c r="AS145" s="1"/>
      <c r="AT145" s="1"/>
      <c r="AU145" s="1"/>
      <c r="AV145" s="1"/>
      <c r="AW145" s="1"/>
      <c r="AX145" s="58">
        <v>1.3935298508670113</v>
      </c>
      <c r="AY145" s="1"/>
      <c r="AZ145" s="1"/>
      <c r="BA145" s="1"/>
      <c r="BB145" s="1"/>
      <c r="BC145" s="1"/>
      <c r="BD145" s="58">
        <v>1.3935298508670113</v>
      </c>
      <c r="BJ145" s="59">
        <v>1.3935298508670113</v>
      </c>
      <c r="BL145" s="16" t="s">
        <v>43</v>
      </c>
    </row>
    <row r="146" spans="1:64" ht="12.75">
      <c r="A146" s="16" t="s">
        <v>44</v>
      </c>
      <c r="B146" s="58">
        <v>1.1563921874702394</v>
      </c>
      <c r="C146" s="1"/>
      <c r="D146" s="1"/>
      <c r="E146" s="1"/>
      <c r="F146" s="1"/>
      <c r="G146" s="1"/>
      <c r="H146" s="58">
        <v>1.1563921874702394</v>
      </c>
      <c r="I146" s="1"/>
      <c r="J146" s="1"/>
      <c r="K146" s="1"/>
      <c r="L146" s="1"/>
      <c r="M146" s="1"/>
      <c r="N146" s="58">
        <v>1.1563921874702394</v>
      </c>
      <c r="O146" s="1"/>
      <c r="P146" s="1"/>
      <c r="Q146" s="1"/>
      <c r="R146" s="1"/>
      <c r="S146" s="1"/>
      <c r="T146" s="58">
        <v>1.1563921874702394</v>
      </c>
      <c r="U146" s="1"/>
      <c r="V146" s="1"/>
      <c r="W146" s="1"/>
      <c r="X146" s="1"/>
      <c r="Y146" s="1"/>
      <c r="Z146" s="58">
        <v>1.1563921874702394</v>
      </c>
      <c r="AA146" s="1"/>
      <c r="AB146" s="1"/>
      <c r="AC146" s="1"/>
      <c r="AD146" s="1"/>
      <c r="AE146" s="1"/>
      <c r="AF146" s="58">
        <v>1.1563921874702394</v>
      </c>
      <c r="AG146" s="1"/>
      <c r="AH146" s="1"/>
      <c r="AI146" s="1"/>
      <c r="AJ146" s="1"/>
      <c r="AK146" s="1"/>
      <c r="AL146" s="58">
        <v>1.1563921874702394</v>
      </c>
      <c r="AM146" s="1"/>
      <c r="AN146" s="1"/>
      <c r="AO146" s="1"/>
      <c r="AP146" s="1"/>
      <c r="AQ146" s="1"/>
      <c r="AR146" s="58">
        <v>1.1563921874702394</v>
      </c>
      <c r="AS146" s="1"/>
      <c r="AT146" s="1"/>
      <c r="AU146" s="1"/>
      <c r="AV146" s="1"/>
      <c r="AW146" s="1"/>
      <c r="AX146" s="58">
        <v>1.1563921874702394</v>
      </c>
      <c r="AY146" s="1"/>
      <c r="AZ146" s="1"/>
      <c r="BA146" s="1"/>
      <c r="BB146" s="1"/>
      <c r="BC146" s="1"/>
      <c r="BD146" s="58">
        <v>1.1563921874702394</v>
      </c>
      <c r="BJ146" s="59">
        <v>1.1563921874702394</v>
      </c>
      <c r="BL146" s="16" t="s">
        <v>44</v>
      </c>
    </row>
    <row r="147" spans="1:64" ht="12.75">
      <c r="A147" s="16" t="s">
        <v>45</v>
      </c>
      <c r="B147" s="58">
        <v>1.0174209682062219</v>
      </c>
      <c r="C147" s="1"/>
      <c r="D147" s="1"/>
      <c r="E147" s="1"/>
      <c r="F147" s="1"/>
      <c r="G147" s="1"/>
      <c r="H147" s="58">
        <v>1.0174209682062219</v>
      </c>
      <c r="I147" s="1"/>
      <c r="J147" s="1"/>
      <c r="K147" s="1"/>
      <c r="L147" s="1"/>
      <c r="M147" s="1"/>
      <c r="N147" s="58">
        <v>1.0174209682062219</v>
      </c>
      <c r="O147" s="1"/>
      <c r="P147" s="1"/>
      <c r="Q147" s="1"/>
      <c r="R147" s="1"/>
      <c r="S147" s="1"/>
      <c r="T147" s="58">
        <v>1.0174209682062219</v>
      </c>
      <c r="U147" s="1"/>
      <c r="V147" s="1"/>
      <c r="W147" s="1"/>
      <c r="X147" s="1"/>
      <c r="Y147" s="1"/>
      <c r="Z147" s="58">
        <v>1.0174209682062219</v>
      </c>
      <c r="AA147" s="1"/>
      <c r="AB147" s="1"/>
      <c r="AC147" s="1"/>
      <c r="AD147" s="1"/>
      <c r="AE147" s="1"/>
      <c r="AF147" s="58">
        <v>1.0174209682062219</v>
      </c>
      <c r="AG147" s="1"/>
      <c r="AH147" s="1"/>
      <c r="AI147" s="1"/>
      <c r="AJ147" s="1"/>
      <c r="AK147" s="1"/>
      <c r="AL147" s="58">
        <v>1.0174209682062219</v>
      </c>
      <c r="AM147" s="1"/>
      <c r="AN147" s="1"/>
      <c r="AO147" s="1"/>
      <c r="AP147" s="1"/>
      <c r="AQ147" s="1"/>
      <c r="AR147" s="58">
        <v>1.0174209682062219</v>
      </c>
      <c r="AS147" s="1"/>
      <c r="AT147" s="1"/>
      <c r="AU147" s="1"/>
      <c r="AV147" s="1"/>
      <c r="AW147" s="1"/>
      <c r="AX147" s="58">
        <v>1.0174209682062219</v>
      </c>
      <c r="AY147" s="1"/>
      <c r="AZ147" s="1"/>
      <c r="BA147" s="1"/>
      <c r="BB147" s="1"/>
      <c r="BC147" s="1"/>
      <c r="BD147" s="58">
        <v>1.0174209682062219</v>
      </c>
      <c r="BJ147" s="59">
        <v>1.0174209682062219</v>
      </c>
      <c r="BL147" s="16" t="s">
        <v>45</v>
      </c>
    </row>
    <row r="148" spans="1:64" ht="12.75">
      <c r="A148" s="16" t="s">
        <v>46</v>
      </c>
      <c r="B148" s="58">
        <v>0.9603734937870518</v>
      </c>
      <c r="C148" s="1"/>
      <c r="D148" s="1"/>
      <c r="E148" s="1"/>
      <c r="F148" s="1"/>
      <c r="G148" s="1"/>
      <c r="H148" s="58">
        <v>0.9603734937870518</v>
      </c>
      <c r="I148" s="1"/>
      <c r="J148" s="1"/>
      <c r="K148" s="1"/>
      <c r="L148" s="1"/>
      <c r="M148" s="1"/>
      <c r="N148" s="58">
        <v>0.9603734937870518</v>
      </c>
      <c r="O148" s="1"/>
      <c r="P148" s="1"/>
      <c r="Q148" s="1"/>
      <c r="R148" s="1"/>
      <c r="S148" s="1"/>
      <c r="T148" s="58">
        <v>0.9603734937870518</v>
      </c>
      <c r="U148" s="1"/>
      <c r="V148" s="1"/>
      <c r="W148" s="1"/>
      <c r="X148" s="1"/>
      <c r="Y148" s="1"/>
      <c r="Z148" s="58">
        <v>0.9603734937870518</v>
      </c>
      <c r="AA148" s="1"/>
      <c r="AB148" s="1"/>
      <c r="AC148" s="1"/>
      <c r="AD148" s="1"/>
      <c r="AE148" s="1"/>
      <c r="AF148" s="58">
        <v>0.9603734937870518</v>
      </c>
      <c r="AG148" s="1"/>
      <c r="AH148" s="1"/>
      <c r="AI148" s="1"/>
      <c r="AJ148" s="1"/>
      <c r="AK148" s="1"/>
      <c r="AL148" s="58">
        <v>0.9603734937870518</v>
      </c>
      <c r="AM148" s="1"/>
      <c r="AN148" s="1"/>
      <c r="AO148" s="1"/>
      <c r="AP148" s="1"/>
      <c r="AQ148" s="1"/>
      <c r="AR148" s="58">
        <v>0.9603734937870518</v>
      </c>
      <c r="AS148" s="1"/>
      <c r="AT148" s="1"/>
      <c r="AU148" s="1"/>
      <c r="AV148" s="1"/>
      <c r="AW148" s="1"/>
      <c r="AX148" s="58">
        <v>0.9603734937870518</v>
      </c>
      <c r="AY148" s="1"/>
      <c r="AZ148" s="1"/>
      <c r="BA148" s="1"/>
      <c r="BB148" s="1"/>
      <c r="BC148" s="1"/>
      <c r="BD148" s="58">
        <v>0.9603734937870518</v>
      </c>
      <c r="BJ148" s="59">
        <v>0.9603734937870518</v>
      </c>
      <c r="BL148" s="16" t="s">
        <v>46</v>
      </c>
    </row>
    <row r="149" spans="1:64" ht="12.75">
      <c r="A149" s="16" t="s">
        <v>47</v>
      </c>
      <c r="B149" s="58">
        <v>0.9516972590511616</v>
      </c>
      <c r="C149" s="1"/>
      <c r="D149" s="1"/>
      <c r="E149" s="1"/>
      <c r="F149" s="1"/>
      <c r="G149" s="1"/>
      <c r="H149" s="58">
        <v>0.9516972590511616</v>
      </c>
      <c r="I149" s="1"/>
      <c r="J149" s="1"/>
      <c r="K149" s="1"/>
      <c r="L149" s="1"/>
      <c r="M149" s="1"/>
      <c r="N149" s="58">
        <v>0.9516972590511616</v>
      </c>
      <c r="O149" s="1"/>
      <c r="P149" s="1"/>
      <c r="Q149" s="1"/>
      <c r="R149" s="1"/>
      <c r="S149" s="1"/>
      <c r="T149" s="58">
        <v>0.9516972590511616</v>
      </c>
      <c r="U149" s="1"/>
      <c r="V149" s="1"/>
      <c r="W149" s="1"/>
      <c r="X149" s="1"/>
      <c r="Y149" s="1"/>
      <c r="Z149" s="58">
        <v>0.9516972590511616</v>
      </c>
      <c r="AA149" s="1"/>
      <c r="AB149" s="1"/>
      <c r="AC149" s="1"/>
      <c r="AD149" s="1"/>
      <c r="AE149" s="1"/>
      <c r="AF149" s="58">
        <v>0.9516972590511616</v>
      </c>
      <c r="AG149" s="1"/>
      <c r="AH149" s="1"/>
      <c r="AI149" s="1"/>
      <c r="AJ149" s="1"/>
      <c r="AK149" s="1"/>
      <c r="AL149" s="58">
        <v>0.9516972590511616</v>
      </c>
      <c r="AM149" s="1"/>
      <c r="AN149" s="1"/>
      <c r="AO149" s="1"/>
      <c r="AP149" s="1"/>
      <c r="AQ149" s="1"/>
      <c r="AR149" s="58">
        <v>0.9516972590511616</v>
      </c>
      <c r="AS149" s="1"/>
      <c r="AT149" s="1"/>
      <c r="AU149" s="1"/>
      <c r="AV149" s="1"/>
      <c r="AW149" s="1"/>
      <c r="AX149" s="58">
        <v>0.9516972590511616</v>
      </c>
      <c r="AY149" s="1"/>
      <c r="AZ149" s="1"/>
      <c r="BA149" s="1"/>
      <c r="BB149" s="1"/>
      <c r="BC149" s="1"/>
      <c r="BD149" s="58">
        <v>0.9516972590511616</v>
      </c>
      <c r="BJ149" s="59">
        <v>0.9516972590511616</v>
      </c>
      <c r="BL149" s="16" t="s">
        <v>47</v>
      </c>
    </row>
    <row r="150" spans="1:64" ht="12.75">
      <c r="A150" s="16" t="s">
        <v>48</v>
      </c>
      <c r="B150" s="58">
        <v>0.7817975327145569</v>
      </c>
      <c r="C150" s="1"/>
      <c r="D150" s="1"/>
      <c r="E150" s="1"/>
      <c r="F150" s="1"/>
      <c r="G150" s="1"/>
      <c r="H150" s="58">
        <v>0.7817975327145569</v>
      </c>
      <c r="I150" s="1"/>
      <c r="J150" s="1"/>
      <c r="K150" s="1"/>
      <c r="L150" s="1"/>
      <c r="M150" s="1"/>
      <c r="N150" s="58">
        <v>0.7817975327145569</v>
      </c>
      <c r="O150" s="1"/>
      <c r="P150" s="1"/>
      <c r="Q150" s="1"/>
      <c r="R150" s="1"/>
      <c r="S150" s="1"/>
      <c r="T150" s="58">
        <v>0.7817975327145569</v>
      </c>
      <c r="U150" s="1"/>
      <c r="V150" s="1"/>
      <c r="W150" s="1"/>
      <c r="X150" s="1"/>
      <c r="Y150" s="1"/>
      <c r="Z150" s="58">
        <v>0.7817975327145569</v>
      </c>
      <c r="AA150" s="1"/>
      <c r="AB150" s="1"/>
      <c r="AC150" s="1"/>
      <c r="AD150" s="1"/>
      <c r="AE150" s="1"/>
      <c r="AF150" s="58">
        <v>0.7817975327145569</v>
      </c>
      <c r="AG150" s="1"/>
      <c r="AH150" s="1"/>
      <c r="AI150" s="1"/>
      <c r="AJ150" s="1"/>
      <c r="AK150" s="1"/>
      <c r="AL150" s="58">
        <v>0.7817975327145569</v>
      </c>
      <c r="AM150" s="1"/>
      <c r="AN150" s="1"/>
      <c r="AO150" s="1"/>
      <c r="AP150" s="1"/>
      <c r="AQ150" s="1"/>
      <c r="AR150" s="58">
        <v>0.7817975327145569</v>
      </c>
      <c r="AS150" s="1"/>
      <c r="AT150" s="1"/>
      <c r="AU150" s="1"/>
      <c r="AV150" s="1"/>
      <c r="AW150" s="1"/>
      <c r="AX150" s="58">
        <v>0.7817975327145569</v>
      </c>
      <c r="AY150" s="1"/>
      <c r="AZ150" s="1"/>
      <c r="BA150" s="1"/>
      <c r="BB150" s="1"/>
      <c r="BC150" s="1"/>
      <c r="BD150" s="58">
        <v>0.7817975327145569</v>
      </c>
      <c r="BJ150" s="59">
        <v>0.7817975327145569</v>
      </c>
      <c r="BL150" s="16" t="s">
        <v>48</v>
      </c>
    </row>
    <row r="151" spans="1:64" ht="12.75">
      <c r="A151" s="16" t="s">
        <v>49</v>
      </c>
      <c r="B151" s="58">
        <v>0.7629420944382048</v>
      </c>
      <c r="C151" s="1"/>
      <c r="D151" s="1"/>
      <c r="E151" s="1"/>
      <c r="F151" s="1"/>
      <c r="G151" s="1"/>
      <c r="H151" s="58">
        <v>0.7629420944382048</v>
      </c>
      <c r="I151" s="1"/>
      <c r="J151" s="1"/>
      <c r="K151" s="1"/>
      <c r="L151" s="1"/>
      <c r="M151" s="1"/>
      <c r="N151" s="58">
        <v>0.7629420944382048</v>
      </c>
      <c r="O151" s="1"/>
      <c r="P151" s="1"/>
      <c r="Q151" s="1"/>
      <c r="R151" s="1"/>
      <c r="S151" s="1"/>
      <c r="T151" s="58">
        <v>0.7629420944382048</v>
      </c>
      <c r="U151" s="1"/>
      <c r="V151" s="1"/>
      <c r="W151" s="1"/>
      <c r="X151" s="1"/>
      <c r="Y151" s="1"/>
      <c r="Z151" s="58">
        <v>0.7629420944382048</v>
      </c>
      <c r="AA151" s="1"/>
      <c r="AB151" s="1"/>
      <c r="AC151" s="1"/>
      <c r="AD151" s="1"/>
      <c r="AE151" s="1"/>
      <c r="AF151" s="58">
        <v>0.7629420944382048</v>
      </c>
      <c r="AG151" s="1"/>
      <c r="AH151" s="1"/>
      <c r="AI151" s="1"/>
      <c r="AJ151" s="1"/>
      <c r="AK151" s="1"/>
      <c r="AL151" s="58">
        <v>0.7629420944382048</v>
      </c>
      <c r="AM151" s="1"/>
      <c r="AN151" s="1"/>
      <c r="AO151" s="1"/>
      <c r="AP151" s="1"/>
      <c r="AQ151" s="1"/>
      <c r="AR151" s="58">
        <v>0.7629420944382048</v>
      </c>
      <c r="AS151" s="1"/>
      <c r="AT151" s="1"/>
      <c r="AU151" s="1"/>
      <c r="AV151" s="1"/>
      <c r="AW151" s="1"/>
      <c r="AX151" s="58">
        <v>0.7629420944382048</v>
      </c>
      <c r="AY151" s="1"/>
      <c r="AZ151" s="1"/>
      <c r="BA151" s="1"/>
      <c r="BB151" s="1"/>
      <c r="BC151" s="1"/>
      <c r="BD151" s="58">
        <v>0.7629420944382048</v>
      </c>
      <c r="BJ151" s="59">
        <v>0.7629420944382048</v>
      </c>
      <c r="BL151" s="16" t="s">
        <v>49</v>
      </c>
    </row>
    <row r="152" spans="1:64" ht="12.75">
      <c r="A152" s="16" t="s">
        <v>50</v>
      </c>
      <c r="B152" s="58">
        <v>0.8824970212317332</v>
      </c>
      <c r="C152" s="1"/>
      <c r="D152" s="1"/>
      <c r="E152" s="1"/>
      <c r="F152" s="1"/>
      <c r="G152" s="1"/>
      <c r="H152" s="58">
        <v>0.8824970212317332</v>
      </c>
      <c r="I152" s="1"/>
      <c r="J152" s="1"/>
      <c r="K152" s="1"/>
      <c r="L152" s="1"/>
      <c r="M152" s="1"/>
      <c r="N152" s="58">
        <v>0.8824970212317332</v>
      </c>
      <c r="O152" s="1"/>
      <c r="P152" s="1"/>
      <c r="Q152" s="1"/>
      <c r="R152" s="1"/>
      <c r="S152" s="1"/>
      <c r="T152" s="58">
        <v>0.8824970212317332</v>
      </c>
      <c r="U152" s="1"/>
      <c r="V152" s="1"/>
      <c r="W152" s="1"/>
      <c r="X152" s="1"/>
      <c r="Y152" s="1"/>
      <c r="Z152" s="58">
        <v>0.8824970212317332</v>
      </c>
      <c r="AA152" s="1"/>
      <c r="AB152" s="1"/>
      <c r="AC152" s="1"/>
      <c r="AD152" s="1"/>
      <c r="AE152" s="1"/>
      <c r="AF152" s="58">
        <v>0.8824970212317332</v>
      </c>
      <c r="AG152" s="1"/>
      <c r="AH152" s="1"/>
      <c r="AI152" s="1"/>
      <c r="AJ152" s="1"/>
      <c r="AK152" s="1"/>
      <c r="AL152" s="58">
        <v>0.8824970212317332</v>
      </c>
      <c r="AM152" s="1"/>
      <c r="AN152" s="1"/>
      <c r="AO152" s="1"/>
      <c r="AP152" s="1"/>
      <c r="AQ152" s="1"/>
      <c r="AR152" s="58">
        <v>0.8824970212317332</v>
      </c>
      <c r="AS152" s="1"/>
      <c r="AT152" s="1"/>
      <c r="AU152" s="1"/>
      <c r="AV152" s="1"/>
      <c r="AW152" s="1"/>
      <c r="AX152" s="58">
        <v>0.8824970212317332</v>
      </c>
      <c r="AY152" s="1"/>
      <c r="AZ152" s="1"/>
      <c r="BA152" s="1"/>
      <c r="BB152" s="1"/>
      <c r="BC152" s="1"/>
      <c r="BD152" s="58">
        <v>0.8824970212317332</v>
      </c>
      <c r="BJ152" s="59">
        <v>0.8824970212317332</v>
      </c>
      <c r="BL152" s="16" t="s">
        <v>50</v>
      </c>
    </row>
    <row r="153" spans="1:64" ht="12.75">
      <c r="A153" s="16" t="s">
        <v>65</v>
      </c>
      <c r="B153" s="58">
        <v>0.8492096503986851</v>
      </c>
      <c r="C153" s="1"/>
      <c r="D153" s="1"/>
      <c r="E153" s="1"/>
      <c r="F153" s="1"/>
      <c r="G153" s="1"/>
      <c r="H153" s="58">
        <v>0.8492096503986851</v>
      </c>
      <c r="I153" s="1"/>
      <c r="J153" s="1"/>
      <c r="K153" s="1"/>
      <c r="L153" s="1"/>
      <c r="M153" s="1"/>
      <c r="N153" s="58">
        <v>0.8492096503986851</v>
      </c>
      <c r="O153" s="1"/>
      <c r="P153" s="1"/>
      <c r="Q153" s="1"/>
      <c r="R153" s="1"/>
      <c r="S153" s="1"/>
      <c r="T153" s="58">
        <v>0.8492096503986851</v>
      </c>
      <c r="U153" s="1"/>
      <c r="V153" s="1"/>
      <c r="W153" s="1"/>
      <c r="X153" s="1"/>
      <c r="Y153" s="1"/>
      <c r="Z153" s="58">
        <v>0.8492096503986851</v>
      </c>
      <c r="AA153" s="1"/>
      <c r="AB153" s="1"/>
      <c r="AC153" s="1"/>
      <c r="AD153" s="1"/>
      <c r="AE153" s="1"/>
      <c r="AF153" s="58">
        <v>0.8492096503986851</v>
      </c>
      <c r="AG153" s="1"/>
      <c r="AH153" s="1"/>
      <c r="AI153" s="1"/>
      <c r="AJ153" s="1"/>
      <c r="AK153" s="1"/>
      <c r="AL153" s="58">
        <v>0.8492096503986851</v>
      </c>
      <c r="AM153" s="1"/>
      <c r="AN153" s="1"/>
      <c r="AO153" s="1"/>
      <c r="AP153" s="1"/>
      <c r="AQ153" s="1"/>
      <c r="AR153" s="58">
        <v>0.8492096503986851</v>
      </c>
      <c r="AS153" s="1"/>
      <c r="AT153" s="1"/>
      <c r="AU153" s="1"/>
      <c r="AV153" s="1"/>
      <c r="AW153" s="1"/>
      <c r="AX153" s="58">
        <v>0.8492096503986851</v>
      </c>
      <c r="AY153" s="1"/>
      <c r="AZ153" s="1"/>
      <c r="BA153" s="1"/>
      <c r="BB153" s="1"/>
      <c r="BC153" s="1"/>
      <c r="BD153" s="58">
        <v>0.8492096503986851</v>
      </c>
      <c r="BJ153" s="59">
        <v>0.8492096503986851</v>
      </c>
      <c r="BL153" s="16" t="s">
        <v>65</v>
      </c>
    </row>
    <row r="154" spans="1:64" ht="12.75">
      <c r="A154" s="16" t="s">
        <v>66</v>
      </c>
      <c r="B154" s="58">
        <v>0.9079677267309716</v>
      </c>
      <c r="C154" s="1"/>
      <c r="D154" s="1"/>
      <c r="E154" s="1"/>
      <c r="F154" s="1"/>
      <c r="G154" s="1"/>
      <c r="H154" s="58">
        <v>0.9079677267309716</v>
      </c>
      <c r="I154" s="1"/>
      <c r="J154" s="1"/>
      <c r="K154" s="1"/>
      <c r="L154" s="1"/>
      <c r="M154" s="1"/>
      <c r="N154" s="58">
        <v>0.9079677267309716</v>
      </c>
      <c r="O154" s="1"/>
      <c r="P154" s="1"/>
      <c r="Q154" s="1"/>
      <c r="R154" s="1"/>
      <c r="S154" s="1"/>
      <c r="T154" s="58">
        <v>0.9079677267309716</v>
      </c>
      <c r="U154" s="1"/>
      <c r="V154" s="1"/>
      <c r="W154" s="1"/>
      <c r="X154" s="1"/>
      <c r="Y154" s="1"/>
      <c r="Z154" s="58">
        <v>0.9079677267309716</v>
      </c>
      <c r="AA154" s="1"/>
      <c r="AB154" s="1"/>
      <c r="AC154" s="1"/>
      <c r="AD154" s="1"/>
      <c r="AE154" s="1"/>
      <c r="AF154" s="58">
        <v>0.9079677267309716</v>
      </c>
      <c r="AG154" s="1"/>
      <c r="AH154" s="1"/>
      <c r="AI154" s="1"/>
      <c r="AJ154" s="1"/>
      <c r="AK154" s="1"/>
      <c r="AL154" s="58">
        <v>0.9079677267309716</v>
      </c>
      <c r="AM154" s="1"/>
      <c r="AN154" s="1"/>
      <c r="AO154" s="1"/>
      <c r="AP154" s="1"/>
      <c r="AQ154" s="1"/>
      <c r="AR154" s="58">
        <v>0.9079677267309716</v>
      </c>
      <c r="AS154" s="1"/>
      <c r="AT154" s="1"/>
      <c r="AU154" s="1"/>
      <c r="AV154" s="1"/>
      <c r="AW154" s="1"/>
      <c r="AX154" s="58">
        <v>0.9079677267309716</v>
      </c>
      <c r="AY154" s="1"/>
      <c r="AZ154" s="1"/>
      <c r="BA154" s="1"/>
      <c r="BB154" s="1"/>
      <c r="BC154" s="1"/>
      <c r="BD154" s="58">
        <v>0.9079677267309716</v>
      </c>
      <c r="BJ154" s="59">
        <v>0.9079677267309716</v>
      </c>
      <c r="BL154" s="16" t="s">
        <v>66</v>
      </c>
    </row>
    <row r="155" spans="2:6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J155" s="47"/>
    </row>
    <row r="156" spans="2:6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J156" s="47"/>
    </row>
    <row r="157" spans="1:64" ht="12.75">
      <c r="A157" s="9" t="s">
        <v>67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J157" s="47"/>
      <c r="BL157" s="9" t="s">
        <v>67</v>
      </c>
    </row>
    <row r="158" spans="1:64" ht="12.75">
      <c r="A158" s="13" t="s">
        <v>21</v>
      </c>
      <c r="B158" s="58">
        <v>1.743013869343289</v>
      </c>
      <c r="C158" s="1"/>
      <c r="D158" s="1"/>
      <c r="E158" s="1"/>
      <c r="F158" s="1"/>
      <c r="G158" s="1"/>
      <c r="H158" s="58">
        <v>1.743013869343289</v>
      </c>
      <c r="I158" s="1"/>
      <c r="J158" s="1"/>
      <c r="K158" s="1"/>
      <c r="L158" s="1"/>
      <c r="M158" s="1"/>
      <c r="N158" s="58">
        <v>1.743013869343289</v>
      </c>
      <c r="O158" s="1"/>
      <c r="P158" s="1"/>
      <c r="Q158" s="1"/>
      <c r="R158" s="1"/>
      <c r="S158" s="1"/>
      <c r="T158" s="58">
        <v>1.743013869343289</v>
      </c>
      <c r="U158" s="1"/>
      <c r="V158" s="1"/>
      <c r="W158" s="1"/>
      <c r="X158" s="1"/>
      <c r="Y158" s="1"/>
      <c r="Z158" s="58">
        <v>1.743013869343289</v>
      </c>
      <c r="AA158" s="1"/>
      <c r="AB158" s="1"/>
      <c r="AC158" s="1"/>
      <c r="AD158" s="1"/>
      <c r="AE158" s="1"/>
      <c r="AF158" s="58">
        <v>1.743013869343289</v>
      </c>
      <c r="AG158" s="1"/>
      <c r="AH158" s="1"/>
      <c r="AI158" s="1"/>
      <c r="AJ158" s="1"/>
      <c r="AK158" s="1"/>
      <c r="AL158" s="58">
        <v>1.743013869343289</v>
      </c>
      <c r="AM158" s="1"/>
      <c r="AN158" s="1"/>
      <c r="AO158" s="1"/>
      <c r="AP158" s="1"/>
      <c r="AQ158" s="1"/>
      <c r="AR158" s="58">
        <v>1.743013869343289</v>
      </c>
      <c r="AS158" s="1"/>
      <c r="AT158" s="1"/>
      <c r="AU158" s="1"/>
      <c r="AV158" s="1"/>
      <c r="AW158" s="1"/>
      <c r="AX158" s="58">
        <v>1.743013869343289</v>
      </c>
      <c r="AY158" s="1"/>
      <c r="AZ158" s="1"/>
      <c r="BA158" s="1"/>
      <c r="BB158" s="1"/>
      <c r="BC158" s="1"/>
      <c r="BD158" s="58">
        <v>1.743013869343289</v>
      </c>
      <c r="BJ158" s="59">
        <v>1.743013869343289</v>
      </c>
      <c r="BL158" s="13" t="s">
        <v>21</v>
      </c>
    </row>
    <row r="159" spans="1:64" ht="12.75">
      <c r="A159" s="16" t="s">
        <v>33</v>
      </c>
      <c r="B159" s="58">
        <v>1.5781155732481018</v>
      </c>
      <c r="C159" s="1"/>
      <c r="D159" s="1"/>
      <c r="E159" s="1"/>
      <c r="F159" s="1"/>
      <c r="G159" s="1"/>
      <c r="H159" s="58">
        <v>1.5781155732481018</v>
      </c>
      <c r="I159" s="1"/>
      <c r="J159" s="1"/>
      <c r="K159" s="1"/>
      <c r="L159" s="1"/>
      <c r="M159" s="1"/>
      <c r="N159" s="58">
        <v>1.5781155732481018</v>
      </c>
      <c r="O159" s="1"/>
      <c r="P159" s="1"/>
      <c r="Q159" s="1"/>
      <c r="R159" s="1"/>
      <c r="S159" s="1"/>
      <c r="T159" s="58">
        <v>1.5781155732481018</v>
      </c>
      <c r="U159" s="1"/>
      <c r="V159" s="1"/>
      <c r="W159" s="1"/>
      <c r="X159" s="1"/>
      <c r="Y159" s="1"/>
      <c r="Z159" s="58">
        <v>1.5781155732481018</v>
      </c>
      <c r="AA159" s="1"/>
      <c r="AB159" s="1"/>
      <c r="AC159" s="1"/>
      <c r="AD159" s="1"/>
      <c r="AE159" s="1"/>
      <c r="AF159" s="58">
        <v>1.5781155732481018</v>
      </c>
      <c r="AG159" s="1"/>
      <c r="AH159" s="1"/>
      <c r="AI159" s="1"/>
      <c r="AJ159" s="1"/>
      <c r="AK159" s="1"/>
      <c r="AL159" s="58">
        <v>1.5781155732481018</v>
      </c>
      <c r="AM159" s="1"/>
      <c r="AN159" s="1"/>
      <c r="AO159" s="1"/>
      <c r="AP159" s="1"/>
      <c r="AQ159" s="1"/>
      <c r="AR159" s="58">
        <v>1.5781155732481018</v>
      </c>
      <c r="AS159" s="1"/>
      <c r="AT159" s="1"/>
      <c r="AU159" s="1"/>
      <c r="AV159" s="1"/>
      <c r="AW159" s="1"/>
      <c r="AX159" s="58">
        <v>1.5781155732481018</v>
      </c>
      <c r="AY159" s="1"/>
      <c r="AZ159" s="1"/>
      <c r="BA159" s="1"/>
      <c r="BB159" s="1"/>
      <c r="BC159" s="1"/>
      <c r="BD159" s="58">
        <v>1.5781155732481018</v>
      </c>
      <c r="BJ159" s="59">
        <v>1.5781155732481018</v>
      </c>
      <c r="BL159" s="16" t="s">
        <v>33</v>
      </c>
    </row>
    <row r="160" spans="1:64" ht="12.75">
      <c r="A160" s="16" t="s">
        <v>37</v>
      </c>
      <c r="B160" s="58">
        <v>1.1825239402237657</v>
      </c>
      <c r="C160" s="1"/>
      <c r="D160" s="1"/>
      <c r="E160" s="1"/>
      <c r="F160" s="1"/>
      <c r="G160" s="1"/>
      <c r="H160" s="58">
        <v>1.1825239402237657</v>
      </c>
      <c r="I160" s="1"/>
      <c r="J160" s="1"/>
      <c r="K160" s="1"/>
      <c r="L160" s="1"/>
      <c r="M160" s="1"/>
      <c r="N160" s="58">
        <v>1.1825239402237657</v>
      </c>
      <c r="O160" s="1"/>
      <c r="P160" s="1"/>
      <c r="Q160" s="1"/>
      <c r="R160" s="1"/>
      <c r="S160" s="1"/>
      <c r="T160" s="58">
        <v>1.1825239402237657</v>
      </c>
      <c r="U160" s="1"/>
      <c r="V160" s="1"/>
      <c r="W160" s="1"/>
      <c r="X160" s="1"/>
      <c r="Y160" s="1"/>
      <c r="Z160" s="58">
        <v>1.1825239402237657</v>
      </c>
      <c r="AA160" s="1"/>
      <c r="AB160" s="1"/>
      <c r="AC160" s="1"/>
      <c r="AD160" s="1"/>
      <c r="AE160" s="1"/>
      <c r="AF160" s="58">
        <v>1.1825239402237657</v>
      </c>
      <c r="AG160" s="1"/>
      <c r="AH160" s="1"/>
      <c r="AI160" s="1"/>
      <c r="AJ160" s="1"/>
      <c r="AK160" s="1"/>
      <c r="AL160" s="58">
        <v>1.1825239402237657</v>
      </c>
      <c r="AM160" s="1"/>
      <c r="AN160" s="1"/>
      <c r="AO160" s="1"/>
      <c r="AP160" s="1"/>
      <c r="AQ160" s="1"/>
      <c r="AR160" s="58">
        <v>1.1825239402237657</v>
      </c>
      <c r="AS160" s="1"/>
      <c r="AT160" s="1"/>
      <c r="AU160" s="1"/>
      <c r="AV160" s="1"/>
      <c r="AW160" s="1"/>
      <c r="AX160" s="58">
        <v>1.1825239402237657</v>
      </c>
      <c r="AY160" s="1"/>
      <c r="AZ160" s="1"/>
      <c r="BA160" s="1"/>
      <c r="BB160" s="1"/>
      <c r="BC160" s="1"/>
      <c r="BD160" s="58">
        <v>1.1825239402237657</v>
      </c>
      <c r="BJ160" s="59">
        <v>1.1825239402237657</v>
      </c>
      <c r="BL160" s="16" t="s">
        <v>37</v>
      </c>
    </row>
    <row r="161" spans="1:64" ht="12.75">
      <c r="A161" s="16" t="s">
        <v>38</v>
      </c>
      <c r="B161" s="58">
        <v>1.5080339738186403</v>
      </c>
      <c r="C161" s="1"/>
      <c r="D161" s="1"/>
      <c r="E161" s="1"/>
      <c r="F161" s="1"/>
      <c r="G161" s="1"/>
      <c r="H161" s="58">
        <v>1.5080339738186403</v>
      </c>
      <c r="I161" s="1"/>
      <c r="J161" s="1"/>
      <c r="K161" s="1"/>
      <c r="L161" s="1"/>
      <c r="M161" s="1"/>
      <c r="N161" s="58">
        <v>1.5080339738186403</v>
      </c>
      <c r="O161" s="1"/>
      <c r="P161" s="1"/>
      <c r="Q161" s="1"/>
      <c r="R161" s="1"/>
      <c r="S161" s="1"/>
      <c r="T161" s="58">
        <v>1.5080339738186403</v>
      </c>
      <c r="U161" s="1"/>
      <c r="V161" s="1"/>
      <c r="W161" s="1"/>
      <c r="X161" s="1"/>
      <c r="Y161" s="1"/>
      <c r="Z161" s="58">
        <v>1.5080339738186403</v>
      </c>
      <c r="AA161" s="1"/>
      <c r="AB161" s="1"/>
      <c r="AC161" s="1"/>
      <c r="AD161" s="1"/>
      <c r="AE161" s="1"/>
      <c r="AF161" s="58">
        <v>1.5080339738186403</v>
      </c>
      <c r="AG161" s="1"/>
      <c r="AH161" s="1"/>
      <c r="AI161" s="1"/>
      <c r="AJ161" s="1"/>
      <c r="AK161" s="1"/>
      <c r="AL161" s="58">
        <v>1.5080339738186403</v>
      </c>
      <c r="AM161" s="1"/>
      <c r="AN161" s="1"/>
      <c r="AO161" s="1"/>
      <c r="AP161" s="1"/>
      <c r="AQ161" s="1"/>
      <c r="AR161" s="58">
        <v>1.5080339738186403</v>
      </c>
      <c r="AS161" s="1"/>
      <c r="AT161" s="1"/>
      <c r="AU161" s="1"/>
      <c r="AV161" s="1"/>
      <c r="AW161" s="1"/>
      <c r="AX161" s="58">
        <v>1.5080339738186403</v>
      </c>
      <c r="AY161" s="1"/>
      <c r="AZ161" s="1"/>
      <c r="BA161" s="1"/>
      <c r="BB161" s="1"/>
      <c r="BC161" s="1"/>
      <c r="BD161" s="58">
        <v>1.5080339738186403</v>
      </c>
      <c r="BJ161" s="59">
        <v>1.5080339738186403</v>
      </c>
      <c r="BL161" s="16" t="s">
        <v>38</v>
      </c>
    </row>
    <row r="162" spans="1:64" ht="12.75">
      <c r="A162" s="16" t="s">
        <v>39</v>
      </c>
      <c r="B162" s="58">
        <v>2.1996574982733654</v>
      </c>
      <c r="C162" s="1"/>
      <c r="D162" s="1"/>
      <c r="E162" s="1"/>
      <c r="F162" s="1"/>
      <c r="G162" s="1"/>
      <c r="H162" s="58">
        <v>2.1996574982733654</v>
      </c>
      <c r="I162" s="1"/>
      <c r="J162" s="1"/>
      <c r="K162" s="1"/>
      <c r="L162" s="1"/>
      <c r="M162" s="1"/>
      <c r="N162" s="58">
        <v>2.1996574982733654</v>
      </c>
      <c r="O162" s="1"/>
      <c r="P162" s="1"/>
      <c r="Q162" s="1"/>
      <c r="R162" s="1"/>
      <c r="S162" s="1"/>
      <c r="T162" s="58">
        <v>2.1996574982733654</v>
      </c>
      <c r="U162" s="1"/>
      <c r="V162" s="1"/>
      <c r="W162" s="1"/>
      <c r="X162" s="1"/>
      <c r="Y162" s="1"/>
      <c r="Z162" s="58">
        <v>2.1996574982733654</v>
      </c>
      <c r="AA162" s="1"/>
      <c r="AB162" s="1"/>
      <c r="AC162" s="1"/>
      <c r="AD162" s="1"/>
      <c r="AE162" s="1"/>
      <c r="AF162" s="58">
        <v>2.1996574982733654</v>
      </c>
      <c r="AG162" s="1"/>
      <c r="AH162" s="1"/>
      <c r="AI162" s="1"/>
      <c r="AJ162" s="1"/>
      <c r="AK162" s="1"/>
      <c r="AL162" s="58">
        <v>2.1996574982733654</v>
      </c>
      <c r="AM162" s="1"/>
      <c r="AN162" s="1"/>
      <c r="AO162" s="1"/>
      <c r="AP162" s="1"/>
      <c r="AQ162" s="1"/>
      <c r="AR162" s="58">
        <v>2.1996574982733654</v>
      </c>
      <c r="AS162" s="1"/>
      <c r="AT162" s="1"/>
      <c r="AU162" s="1"/>
      <c r="AV162" s="1"/>
      <c r="AW162" s="1"/>
      <c r="AX162" s="58">
        <v>2.1996574982733654</v>
      </c>
      <c r="AY162" s="1"/>
      <c r="AZ162" s="1"/>
      <c r="BA162" s="1"/>
      <c r="BB162" s="1"/>
      <c r="BC162" s="1"/>
      <c r="BD162" s="58">
        <v>2.1996574982733654</v>
      </c>
      <c r="BJ162" s="59">
        <v>2.1996574982733654</v>
      </c>
      <c r="BL162" s="16" t="s">
        <v>39</v>
      </c>
    </row>
    <row r="163" spans="1:64" ht="12.75">
      <c r="A163" s="16" t="s">
        <v>40</v>
      </c>
      <c r="B163" s="58">
        <v>2.173184412761089</v>
      </c>
      <c r="C163" s="1"/>
      <c r="D163" s="1"/>
      <c r="E163" s="1"/>
      <c r="F163" s="1"/>
      <c r="G163" s="1"/>
      <c r="H163" s="58">
        <v>2.173184412761089</v>
      </c>
      <c r="I163" s="1"/>
      <c r="J163" s="1"/>
      <c r="K163" s="1"/>
      <c r="L163" s="1"/>
      <c r="M163" s="1"/>
      <c r="N163" s="58">
        <v>2.173184412761089</v>
      </c>
      <c r="O163" s="1"/>
      <c r="P163" s="1"/>
      <c r="Q163" s="1"/>
      <c r="R163" s="1"/>
      <c r="S163" s="1"/>
      <c r="T163" s="58">
        <v>2.173184412761089</v>
      </c>
      <c r="U163" s="1"/>
      <c r="V163" s="1"/>
      <c r="W163" s="1"/>
      <c r="X163" s="1"/>
      <c r="Y163" s="1"/>
      <c r="Z163" s="58">
        <v>2.173184412761089</v>
      </c>
      <c r="AA163" s="1"/>
      <c r="AB163" s="1"/>
      <c r="AC163" s="1"/>
      <c r="AD163" s="1"/>
      <c r="AE163" s="1"/>
      <c r="AF163" s="58">
        <v>2.173184412761089</v>
      </c>
      <c r="AG163" s="1"/>
      <c r="AH163" s="1"/>
      <c r="AI163" s="1"/>
      <c r="AJ163" s="1"/>
      <c r="AK163" s="1"/>
      <c r="AL163" s="58">
        <v>2.173184412761089</v>
      </c>
      <c r="AM163" s="1"/>
      <c r="AN163" s="1"/>
      <c r="AO163" s="1"/>
      <c r="AP163" s="1"/>
      <c r="AQ163" s="1"/>
      <c r="AR163" s="58">
        <v>2.173184412761089</v>
      </c>
      <c r="AS163" s="1"/>
      <c r="AT163" s="1"/>
      <c r="AU163" s="1"/>
      <c r="AV163" s="1"/>
      <c r="AW163" s="1"/>
      <c r="AX163" s="58">
        <v>2.173184412761089</v>
      </c>
      <c r="AY163" s="1"/>
      <c r="AZ163" s="1"/>
      <c r="BA163" s="1"/>
      <c r="BB163" s="1"/>
      <c r="BC163" s="1"/>
      <c r="BD163" s="58">
        <v>2.173184412761089</v>
      </c>
      <c r="BJ163" s="59">
        <v>2.173184412761089</v>
      </c>
      <c r="BL163" s="16" t="s">
        <v>40</v>
      </c>
    </row>
    <row r="164" spans="1:64" ht="12.75">
      <c r="A164" s="16" t="s">
        <v>41</v>
      </c>
      <c r="B164" s="58">
        <v>1.767212549405433</v>
      </c>
      <c r="C164" s="1"/>
      <c r="D164" s="1"/>
      <c r="E164" s="1"/>
      <c r="F164" s="1"/>
      <c r="G164" s="1"/>
      <c r="H164" s="58">
        <v>1.767212549405433</v>
      </c>
      <c r="I164" s="1"/>
      <c r="J164" s="1"/>
      <c r="K164" s="1"/>
      <c r="L164" s="1"/>
      <c r="M164" s="1"/>
      <c r="N164" s="58">
        <v>1.767212549405433</v>
      </c>
      <c r="O164" s="1"/>
      <c r="P164" s="1"/>
      <c r="Q164" s="1"/>
      <c r="R164" s="1"/>
      <c r="S164" s="1"/>
      <c r="T164" s="58">
        <v>1.767212549405433</v>
      </c>
      <c r="U164" s="1"/>
      <c r="V164" s="1"/>
      <c r="W164" s="1"/>
      <c r="X164" s="1"/>
      <c r="Y164" s="1"/>
      <c r="Z164" s="58">
        <v>1.767212549405433</v>
      </c>
      <c r="AA164" s="1"/>
      <c r="AB164" s="1"/>
      <c r="AC164" s="1"/>
      <c r="AD164" s="1"/>
      <c r="AE164" s="1"/>
      <c r="AF164" s="58">
        <v>1.767212549405433</v>
      </c>
      <c r="AG164" s="1"/>
      <c r="AH164" s="1"/>
      <c r="AI164" s="1"/>
      <c r="AJ164" s="1"/>
      <c r="AK164" s="1"/>
      <c r="AL164" s="58">
        <v>1.767212549405433</v>
      </c>
      <c r="AM164" s="1"/>
      <c r="AN164" s="1"/>
      <c r="AO164" s="1"/>
      <c r="AP164" s="1"/>
      <c r="AQ164" s="1"/>
      <c r="AR164" s="58">
        <v>1.767212549405433</v>
      </c>
      <c r="AS164" s="1"/>
      <c r="AT164" s="1"/>
      <c r="AU164" s="1"/>
      <c r="AV164" s="1"/>
      <c r="AW164" s="1"/>
      <c r="AX164" s="58">
        <v>1.767212549405433</v>
      </c>
      <c r="AY164" s="1"/>
      <c r="AZ164" s="1"/>
      <c r="BA164" s="1"/>
      <c r="BB164" s="1"/>
      <c r="BC164" s="1"/>
      <c r="BD164" s="58">
        <v>1.767212549405433</v>
      </c>
      <c r="BJ164" s="59">
        <v>1.767212549405433</v>
      </c>
      <c r="BL164" s="16" t="s">
        <v>41</v>
      </c>
    </row>
    <row r="165" spans="1:64" ht="12.75">
      <c r="A165" s="16" t="s">
        <v>42</v>
      </c>
      <c r="B165" s="58">
        <v>1.4085489871797519</v>
      </c>
      <c r="C165" s="1"/>
      <c r="D165" s="1"/>
      <c r="E165" s="1"/>
      <c r="F165" s="1"/>
      <c r="G165" s="1"/>
      <c r="H165" s="58">
        <v>1.4085489871797519</v>
      </c>
      <c r="I165" s="1"/>
      <c r="J165" s="1"/>
      <c r="K165" s="1"/>
      <c r="L165" s="1"/>
      <c r="M165" s="1"/>
      <c r="N165" s="58">
        <v>1.4085489871797519</v>
      </c>
      <c r="O165" s="1"/>
      <c r="P165" s="1"/>
      <c r="Q165" s="1"/>
      <c r="R165" s="1"/>
      <c r="S165" s="1"/>
      <c r="T165" s="58">
        <v>1.4085489871797519</v>
      </c>
      <c r="U165" s="1"/>
      <c r="V165" s="1"/>
      <c r="W165" s="1"/>
      <c r="X165" s="1"/>
      <c r="Y165" s="1"/>
      <c r="Z165" s="58">
        <v>1.4085489871797519</v>
      </c>
      <c r="AA165" s="1"/>
      <c r="AB165" s="1"/>
      <c r="AC165" s="1"/>
      <c r="AD165" s="1"/>
      <c r="AE165" s="1"/>
      <c r="AF165" s="58">
        <v>1.4085489871797519</v>
      </c>
      <c r="AG165" s="1"/>
      <c r="AH165" s="1"/>
      <c r="AI165" s="1"/>
      <c r="AJ165" s="1"/>
      <c r="AK165" s="1"/>
      <c r="AL165" s="58">
        <v>1.4085489871797519</v>
      </c>
      <c r="AM165" s="1"/>
      <c r="AN165" s="1"/>
      <c r="AO165" s="1"/>
      <c r="AP165" s="1"/>
      <c r="AQ165" s="1"/>
      <c r="AR165" s="58">
        <v>1.4085489871797519</v>
      </c>
      <c r="AS165" s="1"/>
      <c r="AT165" s="1"/>
      <c r="AU165" s="1"/>
      <c r="AV165" s="1"/>
      <c r="AW165" s="1"/>
      <c r="AX165" s="58">
        <v>1.4085489871797519</v>
      </c>
      <c r="AY165" s="1"/>
      <c r="AZ165" s="1"/>
      <c r="BA165" s="1"/>
      <c r="BB165" s="1"/>
      <c r="BC165" s="1"/>
      <c r="BD165" s="58">
        <v>1.4085489871797519</v>
      </c>
      <c r="BJ165" s="59">
        <v>1.4085489871797519</v>
      </c>
      <c r="BL165" s="16" t="s">
        <v>42</v>
      </c>
    </row>
    <row r="166" spans="1:64" ht="12.75">
      <c r="A166" s="16" t="s">
        <v>43</v>
      </c>
      <c r="B166" s="58">
        <v>1.0685310300421083</v>
      </c>
      <c r="C166" s="1"/>
      <c r="D166" s="1"/>
      <c r="E166" s="1"/>
      <c r="F166" s="1"/>
      <c r="G166" s="1"/>
      <c r="H166" s="58">
        <v>1.0685310300421083</v>
      </c>
      <c r="I166" s="1"/>
      <c r="J166" s="1"/>
      <c r="K166" s="1"/>
      <c r="L166" s="1"/>
      <c r="M166" s="1"/>
      <c r="N166" s="58">
        <v>1.0685310300421083</v>
      </c>
      <c r="O166" s="1"/>
      <c r="P166" s="1"/>
      <c r="Q166" s="1"/>
      <c r="R166" s="1"/>
      <c r="S166" s="1"/>
      <c r="T166" s="58">
        <v>1.0685310300421083</v>
      </c>
      <c r="U166" s="1"/>
      <c r="V166" s="1"/>
      <c r="W166" s="1"/>
      <c r="X166" s="1"/>
      <c r="Y166" s="1"/>
      <c r="Z166" s="58">
        <v>1.0685310300421083</v>
      </c>
      <c r="AA166" s="1"/>
      <c r="AB166" s="1"/>
      <c r="AC166" s="1"/>
      <c r="AD166" s="1"/>
      <c r="AE166" s="1"/>
      <c r="AF166" s="58">
        <v>1.0685310300421083</v>
      </c>
      <c r="AG166" s="1"/>
      <c r="AH166" s="1"/>
      <c r="AI166" s="1"/>
      <c r="AJ166" s="1"/>
      <c r="AK166" s="1"/>
      <c r="AL166" s="58">
        <v>1.0685310300421083</v>
      </c>
      <c r="AM166" s="1"/>
      <c r="AN166" s="1"/>
      <c r="AO166" s="1"/>
      <c r="AP166" s="1"/>
      <c r="AQ166" s="1"/>
      <c r="AR166" s="58">
        <v>1.0685310300421083</v>
      </c>
      <c r="AS166" s="1"/>
      <c r="AT166" s="1"/>
      <c r="AU166" s="1"/>
      <c r="AV166" s="1"/>
      <c r="AW166" s="1"/>
      <c r="AX166" s="58">
        <v>1.0685310300421083</v>
      </c>
      <c r="AY166" s="1"/>
      <c r="AZ166" s="1"/>
      <c r="BA166" s="1"/>
      <c r="BB166" s="1"/>
      <c r="BC166" s="1"/>
      <c r="BD166" s="58">
        <v>1.0685310300421083</v>
      </c>
      <c r="BJ166" s="59">
        <v>1.0685310300421083</v>
      </c>
      <c r="BL166" s="16" t="s">
        <v>43</v>
      </c>
    </row>
    <row r="167" spans="1:64" ht="12.75">
      <c r="A167" s="16" t="s">
        <v>44</v>
      </c>
      <c r="B167" s="58">
        <v>0.8958081448281718</v>
      </c>
      <c r="C167" s="1"/>
      <c r="D167" s="1"/>
      <c r="E167" s="1"/>
      <c r="F167" s="1"/>
      <c r="G167" s="1"/>
      <c r="H167" s="58">
        <v>0.8958081448281718</v>
      </c>
      <c r="I167" s="1"/>
      <c r="J167" s="1"/>
      <c r="K167" s="1"/>
      <c r="L167" s="1"/>
      <c r="M167" s="1"/>
      <c r="N167" s="58">
        <v>0.8958081448281718</v>
      </c>
      <c r="O167" s="1"/>
      <c r="P167" s="1"/>
      <c r="Q167" s="1"/>
      <c r="R167" s="1"/>
      <c r="S167" s="1"/>
      <c r="T167" s="58">
        <v>0.8958081448281718</v>
      </c>
      <c r="U167" s="1"/>
      <c r="V167" s="1"/>
      <c r="W167" s="1"/>
      <c r="X167" s="1"/>
      <c r="Y167" s="1"/>
      <c r="Z167" s="58">
        <v>0.8958081448281718</v>
      </c>
      <c r="AA167" s="1"/>
      <c r="AB167" s="1"/>
      <c r="AC167" s="1"/>
      <c r="AD167" s="1"/>
      <c r="AE167" s="1"/>
      <c r="AF167" s="58">
        <v>0.8958081448281718</v>
      </c>
      <c r="AG167" s="1"/>
      <c r="AH167" s="1"/>
      <c r="AI167" s="1"/>
      <c r="AJ167" s="1"/>
      <c r="AK167" s="1"/>
      <c r="AL167" s="58">
        <v>0.8958081448281718</v>
      </c>
      <c r="AM167" s="1"/>
      <c r="AN167" s="1"/>
      <c r="AO167" s="1"/>
      <c r="AP167" s="1"/>
      <c r="AQ167" s="1"/>
      <c r="AR167" s="58">
        <v>0.8958081448281718</v>
      </c>
      <c r="AS167" s="1"/>
      <c r="AT167" s="1"/>
      <c r="AU167" s="1"/>
      <c r="AV167" s="1"/>
      <c r="AW167" s="1"/>
      <c r="AX167" s="58">
        <v>0.8958081448281718</v>
      </c>
      <c r="AY167" s="1"/>
      <c r="AZ167" s="1"/>
      <c r="BA167" s="1"/>
      <c r="BB167" s="1"/>
      <c r="BC167" s="1"/>
      <c r="BD167" s="58">
        <v>0.8958081448281718</v>
      </c>
      <c r="BJ167" s="59">
        <v>0.8958081448281718</v>
      </c>
      <c r="BL167" s="16" t="s">
        <v>44</v>
      </c>
    </row>
    <row r="168" spans="1:64" ht="12.75">
      <c r="A168" s="16" t="s">
        <v>45</v>
      </c>
      <c r="B168" s="58">
        <v>0.831421371290805</v>
      </c>
      <c r="C168" s="1"/>
      <c r="D168" s="1"/>
      <c r="E168" s="1"/>
      <c r="F168" s="1"/>
      <c r="G168" s="1"/>
      <c r="H168" s="58">
        <v>0.831421371290805</v>
      </c>
      <c r="I168" s="1"/>
      <c r="J168" s="1"/>
      <c r="K168" s="1"/>
      <c r="L168" s="1"/>
      <c r="M168" s="1"/>
      <c r="N168" s="58">
        <v>0.831421371290805</v>
      </c>
      <c r="O168" s="1"/>
      <c r="P168" s="1"/>
      <c r="Q168" s="1"/>
      <c r="R168" s="1"/>
      <c r="S168" s="1"/>
      <c r="T168" s="58">
        <v>0.831421371290805</v>
      </c>
      <c r="U168" s="1"/>
      <c r="V168" s="1"/>
      <c r="W168" s="1"/>
      <c r="X168" s="1"/>
      <c r="Y168" s="1"/>
      <c r="Z168" s="58">
        <v>0.831421371290805</v>
      </c>
      <c r="AA168" s="1"/>
      <c r="AB168" s="1"/>
      <c r="AC168" s="1"/>
      <c r="AD168" s="1"/>
      <c r="AE168" s="1"/>
      <c r="AF168" s="58">
        <v>0.831421371290805</v>
      </c>
      <c r="AG168" s="1"/>
      <c r="AH168" s="1"/>
      <c r="AI168" s="1"/>
      <c r="AJ168" s="1"/>
      <c r="AK168" s="1"/>
      <c r="AL168" s="58">
        <v>0.831421371290805</v>
      </c>
      <c r="AM168" s="1"/>
      <c r="AN168" s="1"/>
      <c r="AO168" s="1"/>
      <c r="AP168" s="1"/>
      <c r="AQ168" s="1"/>
      <c r="AR168" s="58">
        <v>0.831421371290805</v>
      </c>
      <c r="AS168" s="1"/>
      <c r="AT168" s="1"/>
      <c r="AU168" s="1"/>
      <c r="AV168" s="1"/>
      <c r="AW168" s="1"/>
      <c r="AX168" s="58">
        <v>0.831421371290805</v>
      </c>
      <c r="AY168" s="1"/>
      <c r="AZ168" s="1"/>
      <c r="BA168" s="1"/>
      <c r="BB168" s="1"/>
      <c r="BC168" s="1"/>
      <c r="BD168" s="58">
        <v>0.831421371290805</v>
      </c>
      <c r="BJ168" s="59">
        <v>0.831421371290805</v>
      </c>
      <c r="BL168" s="16" t="s">
        <v>45</v>
      </c>
    </row>
    <row r="169" spans="1:64" ht="12.75">
      <c r="A169" s="16" t="s">
        <v>46</v>
      </c>
      <c r="B169" s="58">
        <v>0.8801687018274746</v>
      </c>
      <c r="C169" s="1"/>
      <c r="D169" s="1"/>
      <c r="E169" s="1"/>
      <c r="F169" s="1"/>
      <c r="G169" s="1"/>
      <c r="H169" s="58">
        <v>0.8801687018274746</v>
      </c>
      <c r="I169" s="1"/>
      <c r="J169" s="1"/>
      <c r="K169" s="1"/>
      <c r="L169" s="1"/>
      <c r="M169" s="1"/>
      <c r="N169" s="58">
        <v>0.8801687018274746</v>
      </c>
      <c r="O169" s="1"/>
      <c r="P169" s="1"/>
      <c r="Q169" s="1"/>
      <c r="R169" s="1"/>
      <c r="S169" s="1"/>
      <c r="T169" s="58">
        <v>0.8801687018274746</v>
      </c>
      <c r="U169" s="1"/>
      <c r="V169" s="1"/>
      <c r="W169" s="1"/>
      <c r="X169" s="1"/>
      <c r="Y169" s="1"/>
      <c r="Z169" s="58">
        <v>0.8801687018274746</v>
      </c>
      <c r="AA169" s="1"/>
      <c r="AB169" s="1"/>
      <c r="AC169" s="1"/>
      <c r="AD169" s="1"/>
      <c r="AE169" s="1"/>
      <c r="AF169" s="58">
        <v>0.8801687018274746</v>
      </c>
      <c r="AG169" s="1"/>
      <c r="AH169" s="1"/>
      <c r="AI169" s="1"/>
      <c r="AJ169" s="1"/>
      <c r="AK169" s="1"/>
      <c r="AL169" s="58">
        <v>0.8801687018274746</v>
      </c>
      <c r="AM169" s="1"/>
      <c r="AN169" s="1"/>
      <c r="AO169" s="1"/>
      <c r="AP169" s="1"/>
      <c r="AQ169" s="1"/>
      <c r="AR169" s="58">
        <v>0.8801687018274746</v>
      </c>
      <c r="AS169" s="1"/>
      <c r="AT169" s="1"/>
      <c r="AU169" s="1"/>
      <c r="AV169" s="1"/>
      <c r="AW169" s="1"/>
      <c r="AX169" s="58">
        <v>0.8801687018274746</v>
      </c>
      <c r="AY169" s="1"/>
      <c r="AZ169" s="1"/>
      <c r="BA169" s="1"/>
      <c r="BB169" s="1"/>
      <c r="BC169" s="1"/>
      <c r="BD169" s="58">
        <v>0.8801687018274746</v>
      </c>
      <c r="BJ169" s="59">
        <v>0.8801687018274746</v>
      </c>
      <c r="BL169" s="16" t="s">
        <v>46</v>
      </c>
    </row>
    <row r="170" spans="1:64" ht="12.75">
      <c r="A170" s="16" t="s">
        <v>47</v>
      </c>
      <c r="B170" s="58">
        <v>0.8374940529262677</v>
      </c>
      <c r="C170" s="1"/>
      <c r="D170" s="1"/>
      <c r="E170" s="1"/>
      <c r="F170" s="1"/>
      <c r="G170" s="1"/>
      <c r="H170" s="58">
        <v>0.8374940529262677</v>
      </c>
      <c r="I170" s="1"/>
      <c r="J170" s="1"/>
      <c r="K170" s="1"/>
      <c r="L170" s="1"/>
      <c r="M170" s="1"/>
      <c r="N170" s="58">
        <v>0.8374940529262677</v>
      </c>
      <c r="O170" s="1"/>
      <c r="P170" s="1"/>
      <c r="Q170" s="1"/>
      <c r="R170" s="1"/>
      <c r="S170" s="1"/>
      <c r="T170" s="58">
        <v>0.8374940529262677</v>
      </c>
      <c r="U170" s="1"/>
      <c r="V170" s="1"/>
      <c r="W170" s="1"/>
      <c r="X170" s="1"/>
      <c r="Y170" s="1"/>
      <c r="Z170" s="58">
        <v>0.8374940529262677</v>
      </c>
      <c r="AA170" s="1"/>
      <c r="AB170" s="1"/>
      <c r="AC170" s="1"/>
      <c r="AD170" s="1"/>
      <c r="AE170" s="1"/>
      <c r="AF170" s="58">
        <v>0.8374940529262677</v>
      </c>
      <c r="AG170" s="1"/>
      <c r="AH170" s="1"/>
      <c r="AI170" s="1"/>
      <c r="AJ170" s="1"/>
      <c r="AK170" s="1"/>
      <c r="AL170" s="58">
        <v>0.8374940529262677</v>
      </c>
      <c r="AM170" s="1"/>
      <c r="AN170" s="1"/>
      <c r="AO170" s="1"/>
      <c r="AP170" s="1"/>
      <c r="AQ170" s="1"/>
      <c r="AR170" s="58">
        <v>0.8374940529262677</v>
      </c>
      <c r="AS170" s="1"/>
      <c r="AT170" s="1"/>
      <c r="AU170" s="1"/>
      <c r="AV170" s="1"/>
      <c r="AW170" s="1"/>
      <c r="AX170" s="58">
        <v>0.8374940529262677</v>
      </c>
      <c r="AY170" s="1"/>
      <c r="AZ170" s="1"/>
      <c r="BA170" s="1"/>
      <c r="BB170" s="1"/>
      <c r="BC170" s="1"/>
      <c r="BD170" s="58">
        <v>0.8374940529262677</v>
      </c>
      <c r="BJ170" s="59">
        <v>0.8374940529262677</v>
      </c>
      <c r="BL170" s="16" t="s">
        <v>47</v>
      </c>
    </row>
    <row r="171" spans="1:64" ht="12.75">
      <c r="A171" s="16" t="s">
        <v>48</v>
      </c>
      <c r="B171" s="58">
        <v>0.7053864626791344</v>
      </c>
      <c r="C171" s="1"/>
      <c r="D171" s="1"/>
      <c r="E171" s="1"/>
      <c r="F171" s="1"/>
      <c r="G171" s="1"/>
      <c r="H171" s="58">
        <v>0.7053864626791344</v>
      </c>
      <c r="I171" s="1"/>
      <c r="J171" s="1"/>
      <c r="K171" s="1"/>
      <c r="L171" s="1"/>
      <c r="M171" s="1"/>
      <c r="N171" s="58">
        <v>0.7053864626791344</v>
      </c>
      <c r="O171" s="1"/>
      <c r="P171" s="1"/>
      <c r="Q171" s="1"/>
      <c r="R171" s="1"/>
      <c r="S171" s="1"/>
      <c r="T171" s="58">
        <v>0.7053864626791344</v>
      </c>
      <c r="U171" s="1"/>
      <c r="V171" s="1"/>
      <c r="W171" s="1"/>
      <c r="X171" s="1"/>
      <c r="Y171" s="1"/>
      <c r="Z171" s="58">
        <v>0.7053864626791344</v>
      </c>
      <c r="AA171" s="1"/>
      <c r="AB171" s="1"/>
      <c r="AC171" s="1"/>
      <c r="AD171" s="1"/>
      <c r="AE171" s="1"/>
      <c r="AF171" s="58">
        <v>0.7053864626791344</v>
      </c>
      <c r="AG171" s="1"/>
      <c r="AH171" s="1"/>
      <c r="AI171" s="1"/>
      <c r="AJ171" s="1"/>
      <c r="AK171" s="1"/>
      <c r="AL171" s="58">
        <v>0.7053864626791344</v>
      </c>
      <c r="AM171" s="1"/>
      <c r="AN171" s="1"/>
      <c r="AO171" s="1"/>
      <c r="AP171" s="1"/>
      <c r="AQ171" s="1"/>
      <c r="AR171" s="58">
        <v>0.7053864626791344</v>
      </c>
      <c r="AS171" s="1"/>
      <c r="AT171" s="1"/>
      <c r="AU171" s="1"/>
      <c r="AV171" s="1"/>
      <c r="AW171" s="1"/>
      <c r="AX171" s="58">
        <v>0.7053864626791344</v>
      </c>
      <c r="AY171" s="1"/>
      <c r="AZ171" s="1"/>
      <c r="BA171" s="1"/>
      <c r="BB171" s="1"/>
      <c r="BC171" s="1"/>
      <c r="BD171" s="58">
        <v>0.7053864626791344</v>
      </c>
      <c r="BJ171" s="59">
        <v>0.7053864626791344</v>
      </c>
      <c r="BL171" s="16" t="s">
        <v>48</v>
      </c>
    </row>
    <row r="172" spans="1:64" ht="12.75">
      <c r="A172" s="16" t="s">
        <v>49</v>
      </c>
      <c r="B172" s="58">
        <v>0.7389705440610475</v>
      </c>
      <c r="C172" s="1"/>
      <c r="D172" s="1"/>
      <c r="E172" s="1"/>
      <c r="F172" s="1"/>
      <c r="G172" s="1"/>
      <c r="H172" s="58">
        <v>0.7389705440610475</v>
      </c>
      <c r="I172" s="1"/>
      <c r="J172" s="1"/>
      <c r="K172" s="1"/>
      <c r="L172" s="1"/>
      <c r="M172" s="1"/>
      <c r="N172" s="58">
        <v>0.7389705440610475</v>
      </c>
      <c r="O172" s="1"/>
      <c r="P172" s="1"/>
      <c r="Q172" s="1"/>
      <c r="R172" s="1"/>
      <c r="S172" s="1"/>
      <c r="T172" s="58">
        <v>0.7389705440610475</v>
      </c>
      <c r="U172" s="1"/>
      <c r="V172" s="1"/>
      <c r="W172" s="1"/>
      <c r="X172" s="1"/>
      <c r="Y172" s="1"/>
      <c r="Z172" s="58">
        <v>0.7389705440610475</v>
      </c>
      <c r="AA172" s="1"/>
      <c r="AB172" s="1"/>
      <c r="AC172" s="1"/>
      <c r="AD172" s="1"/>
      <c r="AE172" s="1"/>
      <c r="AF172" s="58">
        <v>0.7389705440610475</v>
      </c>
      <c r="AG172" s="1"/>
      <c r="AH172" s="1"/>
      <c r="AI172" s="1"/>
      <c r="AJ172" s="1"/>
      <c r="AK172" s="1"/>
      <c r="AL172" s="58">
        <v>0.7389705440610475</v>
      </c>
      <c r="AM172" s="1"/>
      <c r="AN172" s="1"/>
      <c r="AO172" s="1"/>
      <c r="AP172" s="1"/>
      <c r="AQ172" s="1"/>
      <c r="AR172" s="58">
        <v>0.7389705440610475</v>
      </c>
      <c r="AS172" s="1"/>
      <c r="AT172" s="1"/>
      <c r="AU172" s="1"/>
      <c r="AV172" s="1"/>
      <c r="AW172" s="1"/>
      <c r="AX172" s="58">
        <v>0.7389705440610475</v>
      </c>
      <c r="AY172" s="1"/>
      <c r="AZ172" s="1"/>
      <c r="BA172" s="1"/>
      <c r="BB172" s="1"/>
      <c r="BC172" s="1"/>
      <c r="BD172" s="58">
        <v>0.7389705440610475</v>
      </c>
      <c r="BJ172" s="59">
        <v>0.7389705440610475</v>
      </c>
      <c r="BL172" s="16" t="s">
        <v>49</v>
      </c>
    </row>
    <row r="173" spans="1:64" ht="12.75">
      <c r="A173" s="16" t="s">
        <v>50</v>
      </c>
      <c r="B173" s="58">
        <v>0.8303611786897523</v>
      </c>
      <c r="C173" s="1"/>
      <c r="D173" s="1"/>
      <c r="E173" s="1"/>
      <c r="F173" s="1"/>
      <c r="G173" s="1"/>
      <c r="H173" s="58">
        <v>0.8303611786897523</v>
      </c>
      <c r="I173" s="1"/>
      <c r="J173" s="1"/>
      <c r="K173" s="1"/>
      <c r="L173" s="1"/>
      <c r="M173" s="1"/>
      <c r="N173" s="58">
        <v>0.8303611786897523</v>
      </c>
      <c r="O173" s="1"/>
      <c r="P173" s="1"/>
      <c r="Q173" s="1"/>
      <c r="R173" s="1"/>
      <c r="S173" s="1"/>
      <c r="T173" s="58">
        <v>0.8303611786897523</v>
      </c>
      <c r="U173" s="1"/>
      <c r="V173" s="1"/>
      <c r="W173" s="1"/>
      <c r="X173" s="1"/>
      <c r="Y173" s="1"/>
      <c r="Z173" s="58">
        <v>0.8303611786897523</v>
      </c>
      <c r="AA173" s="1"/>
      <c r="AB173" s="1"/>
      <c r="AC173" s="1"/>
      <c r="AD173" s="1"/>
      <c r="AE173" s="1"/>
      <c r="AF173" s="58">
        <v>0.8303611786897523</v>
      </c>
      <c r="AG173" s="1"/>
      <c r="AH173" s="1"/>
      <c r="AI173" s="1"/>
      <c r="AJ173" s="1"/>
      <c r="AK173" s="1"/>
      <c r="AL173" s="58">
        <v>0.8303611786897523</v>
      </c>
      <c r="AM173" s="1"/>
      <c r="AN173" s="1"/>
      <c r="AO173" s="1"/>
      <c r="AP173" s="1"/>
      <c r="AQ173" s="1"/>
      <c r="AR173" s="58">
        <v>0.8303611786897523</v>
      </c>
      <c r="AS173" s="1"/>
      <c r="AT173" s="1"/>
      <c r="AU173" s="1"/>
      <c r="AV173" s="1"/>
      <c r="AW173" s="1"/>
      <c r="AX173" s="58">
        <v>0.8303611786897523</v>
      </c>
      <c r="AY173" s="1"/>
      <c r="AZ173" s="1"/>
      <c r="BA173" s="1"/>
      <c r="BB173" s="1"/>
      <c r="BC173" s="1"/>
      <c r="BD173" s="58">
        <v>0.8303611786897523</v>
      </c>
      <c r="BJ173" s="59">
        <v>0.8303611786897523</v>
      </c>
      <c r="BL173" s="16" t="s">
        <v>50</v>
      </c>
    </row>
    <row r="174" spans="1:64" ht="12.75">
      <c r="A174" s="16" t="s">
        <v>65</v>
      </c>
      <c r="B174" s="58">
        <v>0.818089853375454</v>
      </c>
      <c r="C174" s="1"/>
      <c r="D174" s="1"/>
      <c r="E174" s="1"/>
      <c r="F174" s="1"/>
      <c r="G174" s="1"/>
      <c r="H174" s="58">
        <v>0.818089853375454</v>
      </c>
      <c r="I174" s="1"/>
      <c r="J174" s="1"/>
      <c r="K174" s="1"/>
      <c r="L174" s="1"/>
      <c r="M174" s="1"/>
      <c r="N174" s="58">
        <v>0.818089853375454</v>
      </c>
      <c r="O174" s="1"/>
      <c r="P174" s="1"/>
      <c r="Q174" s="1"/>
      <c r="R174" s="1"/>
      <c r="S174" s="1"/>
      <c r="T174" s="58">
        <v>0.818089853375454</v>
      </c>
      <c r="U174" s="1"/>
      <c r="V174" s="1"/>
      <c r="W174" s="1"/>
      <c r="X174" s="1"/>
      <c r="Y174" s="1"/>
      <c r="Z174" s="58">
        <v>0.818089853375454</v>
      </c>
      <c r="AA174" s="1"/>
      <c r="AB174" s="1"/>
      <c r="AC174" s="1"/>
      <c r="AD174" s="1"/>
      <c r="AE174" s="1"/>
      <c r="AF174" s="58">
        <v>0.818089853375454</v>
      </c>
      <c r="AG174" s="1"/>
      <c r="AH174" s="1"/>
      <c r="AI174" s="1"/>
      <c r="AJ174" s="1"/>
      <c r="AK174" s="1"/>
      <c r="AL174" s="58">
        <v>0.818089853375454</v>
      </c>
      <c r="AM174" s="1"/>
      <c r="AN174" s="1"/>
      <c r="AO174" s="1"/>
      <c r="AP174" s="1"/>
      <c r="AQ174" s="1"/>
      <c r="AR174" s="58">
        <v>0.818089853375454</v>
      </c>
      <c r="AS174" s="1"/>
      <c r="AT174" s="1"/>
      <c r="AU174" s="1"/>
      <c r="AV174" s="1"/>
      <c r="AW174" s="1"/>
      <c r="AX174" s="58">
        <v>0.818089853375454</v>
      </c>
      <c r="AY174" s="1"/>
      <c r="AZ174" s="1"/>
      <c r="BA174" s="1"/>
      <c r="BB174" s="1"/>
      <c r="BC174" s="1"/>
      <c r="BD174" s="58">
        <v>0.818089853375454</v>
      </c>
      <c r="BJ174" s="59">
        <v>0.818089853375454</v>
      </c>
      <c r="BL174" s="16" t="s">
        <v>65</v>
      </c>
    </row>
    <row r="175" spans="1:64" ht="12.75">
      <c r="A175" s="16" t="s">
        <v>66</v>
      </c>
      <c r="B175" s="58">
        <v>0.7543386778008632</v>
      </c>
      <c r="C175" s="1"/>
      <c r="D175" s="1"/>
      <c r="E175" s="1"/>
      <c r="F175" s="1"/>
      <c r="G175" s="1"/>
      <c r="H175" s="58">
        <v>0.7543386778008632</v>
      </c>
      <c r="I175" s="1"/>
      <c r="J175" s="1"/>
      <c r="K175" s="1"/>
      <c r="L175" s="1"/>
      <c r="M175" s="1"/>
      <c r="N175" s="58">
        <v>0.7543386778008632</v>
      </c>
      <c r="O175" s="1"/>
      <c r="P175" s="1"/>
      <c r="Q175" s="1"/>
      <c r="R175" s="1"/>
      <c r="S175" s="1"/>
      <c r="T175" s="58">
        <v>0.7543386778008632</v>
      </c>
      <c r="U175" s="1"/>
      <c r="V175" s="1"/>
      <c r="W175" s="1"/>
      <c r="X175" s="1"/>
      <c r="Y175" s="1"/>
      <c r="Z175" s="58">
        <v>0.7543386778008632</v>
      </c>
      <c r="AA175" s="1"/>
      <c r="AB175" s="1"/>
      <c r="AC175" s="1"/>
      <c r="AD175" s="1"/>
      <c r="AE175" s="1"/>
      <c r="AF175" s="58">
        <v>0.7543386778008632</v>
      </c>
      <c r="AG175" s="1"/>
      <c r="AH175" s="1"/>
      <c r="AI175" s="1"/>
      <c r="AJ175" s="1"/>
      <c r="AK175" s="1"/>
      <c r="AL175" s="58">
        <v>0.7543386778008632</v>
      </c>
      <c r="AM175" s="1"/>
      <c r="AN175" s="1"/>
      <c r="AO175" s="1"/>
      <c r="AP175" s="1"/>
      <c r="AQ175" s="1"/>
      <c r="AR175" s="58">
        <v>0.7543386778008632</v>
      </c>
      <c r="AS175" s="1"/>
      <c r="AT175" s="1"/>
      <c r="AU175" s="1"/>
      <c r="AV175" s="1"/>
      <c r="AW175" s="1"/>
      <c r="AX175" s="58">
        <v>0.7543386778008632</v>
      </c>
      <c r="AY175" s="1"/>
      <c r="AZ175" s="1"/>
      <c r="BA175" s="1"/>
      <c r="BB175" s="1"/>
      <c r="BC175" s="1"/>
      <c r="BD175" s="58">
        <v>0.7543386778008632</v>
      </c>
      <c r="BJ175" s="59">
        <v>0.7543386778008632</v>
      </c>
      <c r="BL175" s="16" t="s">
        <v>66</v>
      </c>
    </row>
    <row r="176" spans="2:6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J176" s="47"/>
    </row>
    <row r="177" spans="1:64" ht="12.75">
      <c r="A177" t="s">
        <v>68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J177" s="47"/>
      <c r="BL177" t="s">
        <v>68</v>
      </c>
    </row>
    <row r="178" spans="1:64" ht="12.75">
      <c r="A178" t="s">
        <v>57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J178" s="47"/>
      <c r="BL178" t="s">
        <v>57</v>
      </c>
    </row>
    <row r="179" spans="1:64" ht="12.75">
      <c r="A179" s="13" t="s">
        <v>21</v>
      </c>
      <c r="B179" s="38">
        <v>25.35024845183753</v>
      </c>
      <c r="C179" s="1"/>
      <c r="D179" s="1"/>
      <c r="E179" s="1"/>
      <c r="F179" s="1"/>
      <c r="G179" s="1"/>
      <c r="H179" s="38">
        <v>28.26259445500205</v>
      </c>
      <c r="I179" s="1"/>
      <c r="J179" s="1"/>
      <c r="K179" s="1"/>
      <c r="L179" s="1"/>
      <c r="M179" s="1"/>
      <c r="N179" s="38">
        <v>30.67245713783909</v>
      </c>
      <c r="O179" s="1"/>
      <c r="P179" s="1"/>
      <c r="Q179" s="1"/>
      <c r="R179" s="1"/>
      <c r="S179" s="1"/>
      <c r="T179" s="38">
        <v>29.958359094500544</v>
      </c>
      <c r="U179" s="1"/>
      <c r="V179" s="1"/>
      <c r="W179" s="1"/>
      <c r="X179" s="1"/>
      <c r="Y179" s="1"/>
      <c r="Z179" s="38">
        <v>27.201104185188612</v>
      </c>
      <c r="AA179" s="1"/>
      <c r="AB179" s="1"/>
      <c r="AC179" s="1"/>
      <c r="AD179" s="1"/>
      <c r="AE179" s="1"/>
      <c r="AF179" s="38">
        <v>25.048373276144464</v>
      </c>
      <c r="AG179" s="1"/>
      <c r="AH179" s="1"/>
      <c r="AI179" s="1"/>
      <c r="AJ179" s="1"/>
      <c r="AK179" s="1"/>
      <c r="AL179" s="38">
        <v>24.57450787836268</v>
      </c>
      <c r="AM179" s="1"/>
      <c r="AN179" s="1"/>
      <c r="AO179" s="1"/>
      <c r="AP179" s="1"/>
      <c r="AQ179" s="1"/>
      <c r="AR179" s="38">
        <v>28.430272522398074</v>
      </c>
      <c r="AS179" s="1"/>
      <c r="AT179" s="1"/>
      <c r="AU179" s="1"/>
      <c r="AV179" s="1"/>
      <c r="AW179" s="1"/>
      <c r="AX179" s="38">
        <v>28.802528326741786</v>
      </c>
      <c r="AY179" s="1"/>
      <c r="AZ179" s="1"/>
      <c r="BA179" s="1"/>
      <c r="BB179" s="1"/>
      <c r="BC179" s="1"/>
      <c r="BD179" s="38">
        <v>28.283503861186094</v>
      </c>
      <c r="BJ179" s="57">
        <v>25.35024845183753</v>
      </c>
      <c r="BL179" s="13" t="s">
        <v>21</v>
      </c>
    </row>
    <row r="180" spans="1:64" ht="12.75">
      <c r="A180" s="16" t="s">
        <v>33</v>
      </c>
      <c r="B180" s="38">
        <v>34.73434515618903</v>
      </c>
      <c r="C180" s="1"/>
      <c r="D180" s="1"/>
      <c r="E180" s="1"/>
      <c r="F180" s="1"/>
      <c r="G180" s="1"/>
      <c r="H180" s="38">
        <v>29.00231311572792</v>
      </c>
      <c r="I180" s="1"/>
      <c r="J180" s="1"/>
      <c r="K180" s="1"/>
      <c r="L180" s="1"/>
      <c r="M180" s="1"/>
      <c r="N180" s="38">
        <v>32.27027364709705</v>
      </c>
      <c r="O180" s="1"/>
      <c r="P180" s="1"/>
      <c r="Q180" s="1"/>
      <c r="R180" s="1"/>
      <c r="S180" s="1"/>
      <c r="T180" s="38">
        <v>35.71339425403373</v>
      </c>
      <c r="U180" s="1"/>
      <c r="V180" s="1"/>
      <c r="W180" s="1"/>
      <c r="X180" s="1"/>
      <c r="Y180" s="1"/>
      <c r="Z180" s="38">
        <v>35.85869127651811</v>
      </c>
      <c r="AA180" s="1"/>
      <c r="AB180" s="1"/>
      <c r="AC180" s="1"/>
      <c r="AD180" s="1"/>
      <c r="AE180" s="1"/>
      <c r="AF180" s="38">
        <v>33.10896823762634</v>
      </c>
      <c r="AG180" s="1"/>
      <c r="AH180" s="1"/>
      <c r="AI180" s="1"/>
      <c r="AJ180" s="1"/>
      <c r="AK180" s="1"/>
      <c r="AL180" s="38">
        <v>29.963772946423123</v>
      </c>
      <c r="AM180" s="1"/>
      <c r="AN180" s="1"/>
      <c r="AO180" s="1"/>
      <c r="AP180" s="1"/>
      <c r="AQ180" s="1"/>
      <c r="AR180" s="38">
        <v>34.189817624336946</v>
      </c>
      <c r="AS180" s="1"/>
      <c r="AT180" s="1"/>
      <c r="AU180" s="1"/>
      <c r="AV180" s="1"/>
      <c r="AW180" s="1"/>
      <c r="AX180" s="38">
        <v>34.83579989965287</v>
      </c>
      <c r="AY180" s="1"/>
      <c r="AZ180" s="1"/>
      <c r="BA180" s="1"/>
      <c r="BB180" s="1"/>
      <c r="BC180" s="1"/>
      <c r="BD180" s="38">
        <v>35.700771646715516</v>
      </c>
      <c r="BJ180" s="57">
        <v>34.73434515618903</v>
      </c>
      <c r="BL180" s="16" t="s">
        <v>33</v>
      </c>
    </row>
    <row r="181" spans="1:64" ht="12.75">
      <c r="A181" s="16" t="s">
        <v>37</v>
      </c>
      <c r="B181" s="38">
        <v>36.78162721090788</v>
      </c>
      <c r="C181" s="1"/>
      <c r="D181" s="1"/>
      <c r="E181" s="1"/>
      <c r="F181" s="1"/>
      <c r="G181" s="1"/>
      <c r="H181" s="38">
        <v>24.763702483553157</v>
      </c>
      <c r="I181" s="1"/>
      <c r="J181" s="1"/>
      <c r="K181" s="1"/>
      <c r="L181" s="1"/>
      <c r="M181" s="1"/>
      <c r="N181" s="38">
        <v>20.633784101645944</v>
      </c>
      <c r="O181" s="1"/>
      <c r="P181" s="1"/>
      <c r="Q181" s="1"/>
      <c r="R181" s="1"/>
      <c r="S181" s="1"/>
      <c r="T181" s="38">
        <v>23.38528662801861</v>
      </c>
      <c r="U181" s="1"/>
      <c r="V181" s="1"/>
      <c r="W181" s="1"/>
      <c r="X181" s="1"/>
      <c r="Y181" s="1"/>
      <c r="Z181" s="38">
        <v>26.58979202428916</v>
      </c>
      <c r="AA181" s="1"/>
      <c r="AB181" s="1"/>
      <c r="AC181" s="1"/>
      <c r="AD181" s="1"/>
      <c r="AE181" s="1"/>
      <c r="AF181" s="38">
        <v>27.141690011633106</v>
      </c>
      <c r="AG181" s="1"/>
      <c r="AH181" s="1"/>
      <c r="AI181" s="1"/>
      <c r="AJ181" s="1"/>
      <c r="AK181" s="1"/>
      <c r="AL181" s="38">
        <v>24.630855664075188</v>
      </c>
      <c r="AM181" s="1"/>
      <c r="AN181" s="1"/>
      <c r="AO181" s="1"/>
      <c r="AP181" s="1"/>
      <c r="AQ181" s="1"/>
      <c r="AR181" s="38">
        <v>31.11939963712949</v>
      </c>
      <c r="AS181" s="1"/>
      <c r="AT181" s="1"/>
      <c r="AU181" s="1"/>
      <c r="AV181" s="1"/>
      <c r="AW181" s="1"/>
      <c r="AX181" s="38">
        <v>31.99192793771851</v>
      </c>
      <c r="AY181" s="1"/>
      <c r="AZ181" s="1"/>
      <c r="BA181" s="1"/>
      <c r="BB181" s="1"/>
      <c r="BC181" s="1"/>
      <c r="BD181" s="38">
        <v>33.39074274537293</v>
      </c>
      <c r="BJ181" s="57">
        <v>36.781627210907885</v>
      </c>
      <c r="BL181" s="16" t="s">
        <v>37</v>
      </c>
    </row>
    <row r="182" spans="1:64" ht="12.75">
      <c r="A182" s="16" t="s">
        <v>38</v>
      </c>
      <c r="B182" s="38">
        <v>37.09131375191999</v>
      </c>
      <c r="C182" s="1"/>
      <c r="D182" s="1"/>
      <c r="E182" s="1"/>
      <c r="F182" s="1"/>
      <c r="G182" s="1"/>
      <c r="H182" s="38">
        <v>36.171015027991125</v>
      </c>
      <c r="I182" s="1"/>
      <c r="J182" s="1"/>
      <c r="K182" s="1"/>
      <c r="L182" s="1"/>
      <c r="M182" s="1"/>
      <c r="N182" s="38">
        <v>24.37532475266026</v>
      </c>
      <c r="O182" s="1"/>
      <c r="P182" s="1"/>
      <c r="Q182" s="1"/>
      <c r="R182" s="1"/>
      <c r="S182" s="1"/>
      <c r="T182" s="38">
        <v>20.689575909389866</v>
      </c>
      <c r="U182" s="1"/>
      <c r="V182" s="1"/>
      <c r="W182" s="1"/>
      <c r="X182" s="1"/>
      <c r="Y182" s="1"/>
      <c r="Z182" s="38">
        <v>24.07820494956198</v>
      </c>
      <c r="AA182" s="1"/>
      <c r="AB182" s="1"/>
      <c r="AC182" s="1"/>
      <c r="AD182" s="1"/>
      <c r="AE182" s="1"/>
      <c r="AF182" s="38">
        <v>27.829647967146315</v>
      </c>
      <c r="AG182" s="1"/>
      <c r="AH182" s="1"/>
      <c r="AI182" s="1"/>
      <c r="AJ182" s="1"/>
      <c r="AK182" s="1"/>
      <c r="AL182" s="38">
        <v>27.923587838391008</v>
      </c>
      <c r="AM182" s="1"/>
      <c r="AN182" s="1"/>
      <c r="AO182" s="1"/>
      <c r="AP182" s="1"/>
      <c r="AQ182" s="1"/>
      <c r="AR182" s="38">
        <v>33.379958924234124</v>
      </c>
      <c r="AS182" s="1"/>
      <c r="AT182" s="1"/>
      <c r="AU182" s="1"/>
      <c r="AV182" s="1"/>
      <c r="AW182" s="1"/>
      <c r="AX182" s="38">
        <v>33.90045860741085</v>
      </c>
      <c r="AY182" s="1"/>
      <c r="AZ182" s="1"/>
      <c r="BA182" s="1"/>
      <c r="BB182" s="1"/>
      <c r="BC182" s="1"/>
      <c r="BD182" s="38">
        <v>33.631411986504936</v>
      </c>
      <c r="BJ182" s="57">
        <v>37.09131375192</v>
      </c>
      <c r="BL182" s="16" t="s">
        <v>38</v>
      </c>
    </row>
    <row r="183" spans="1:64" ht="12.75">
      <c r="A183" s="16" t="s">
        <v>39</v>
      </c>
      <c r="B183" s="38">
        <v>54.87477962532792</v>
      </c>
      <c r="C183" s="1"/>
      <c r="D183" s="1"/>
      <c r="E183" s="1"/>
      <c r="F183" s="1"/>
      <c r="G183" s="1"/>
      <c r="H183" s="38">
        <v>60.52492729198059</v>
      </c>
      <c r="I183" s="1"/>
      <c r="J183" s="1"/>
      <c r="K183" s="1"/>
      <c r="L183" s="1"/>
      <c r="M183" s="1"/>
      <c r="N183" s="38">
        <v>59.08730723086732</v>
      </c>
      <c r="O183" s="1"/>
      <c r="P183" s="1"/>
      <c r="Q183" s="1"/>
      <c r="R183" s="1"/>
      <c r="S183" s="1"/>
      <c r="T183" s="38">
        <v>40.66548937995543</v>
      </c>
      <c r="U183" s="1"/>
      <c r="V183" s="1"/>
      <c r="W183" s="1"/>
      <c r="X183" s="1"/>
      <c r="Y183" s="1"/>
      <c r="Z183" s="38">
        <v>35.44623444187425</v>
      </c>
      <c r="AA183" s="1"/>
      <c r="AB183" s="1"/>
      <c r="AC183" s="1"/>
      <c r="AD183" s="1"/>
      <c r="AE183" s="1"/>
      <c r="AF183" s="38">
        <v>41.90679289372427</v>
      </c>
      <c r="AG183" s="1"/>
      <c r="AH183" s="1"/>
      <c r="AI183" s="1"/>
      <c r="AJ183" s="1"/>
      <c r="AK183" s="1"/>
      <c r="AL183" s="38">
        <v>47.62464758405682</v>
      </c>
      <c r="AM183" s="1"/>
      <c r="AN183" s="1"/>
      <c r="AO183" s="1"/>
      <c r="AP183" s="1"/>
      <c r="AQ183" s="1"/>
      <c r="AR183" s="38">
        <v>46.434483430856496</v>
      </c>
      <c r="AS183" s="1"/>
      <c r="AT183" s="1"/>
      <c r="AU183" s="1"/>
      <c r="AV183" s="1"/>
      <c r="AW183" s="1"/>
      <c r="AX183" s="38">
        <v>45.900699919198516</v>
      </c>
      <c r="AY183" s="1"/>
      <c r="AZ183" s="1"/>
      <c r="BA183" s="1"/>
      <c r="BB183" s="1"/>
      <c r="BC183" s="1"/>
      <c r="BD183" s="38">
        <v>42.04205562962085</v>
      </c>
      <c r="BJ183" s="57">
        <v>54.874779625327925</v>
      </c>
      <c r="BL183" s="16" t="s">
        <v>39</v>
      </c>
    </row>
    <row r="184" spans="1:64" ht="12.75">
      <c r="A184" s="16" t="s">
        <v>40</v>
      </c>
      <c r="B184" s="38">
        <v>57.78923804139746</v>
      </c>
      <c r="C184" s="1"/>
      <c r="D184" s="1"/>
      <c r="E184" s="1"/>
      <c r="F184" s="1"/>
      <c r="G184" s="1"/>
      <c r="H184" s="38">
        <v>59.68672670498496</v>
      </c>
      <c r="I184" s="1"/>
      <c r="J184" s="1"/>
      <c r="K184" s="1"/>
      <c r="L184" s="1"/>
      <c r="M184" s="1"/>
      <c r="N184" s="38">
        <v>65.86241436396169</v>
      </c>
      <c r="O184" s="1"/>
      <c r="P184" s="1"/>
      <c r="Q184" s="1"/>
      <c r="R184" s="1"/>
      <c r="S184" s="1"/>
      <c r="T184" s="38">
        <v>65.60074036931215</v>
      </c>
      <c r="U184" s="1"/>
      <c r="V184" s="1"/>
      <c r="W184" s="1"/>
      <c r="X184" s="1"/>
      <c r="Y184" s="1"/>
      <c r="Z184" s="38">
        <v>46.50499436974251</v>
      </c>
      <c r="AA184" s="1"/>
      <c r="AB184" s="1"/>
      <c r="AC184" s="1"/>
      <c r="AD184" s="1"/>
      <c r="AE184" s="1"/>
      <c r="AF184" s="38">
        <v>41.19527646803996</v>
      </c>
      <c r="AG184" s="1"/>
      <c r="AH184" s="1"/>
      <c r="AI184" s="1"/>
      <c r="AJ184" s="1"/>
      <c r="AK184" s="1"/>
      <c r="AL184" s="38">
        <v>47.84927431643128</v>
      </c>
      <c r="AM184" s="1"/>
      <c r="AN184" s="1"/>
      <c r="AO184" s="1"/>
      <c r="AP184" s="1"/>
      <c r="AQ184" s="1"/>
      <c r="AR184" s="38">
        <v>51.04722615283749</v>
      </c>
      <c r="AS184" s="1"/>
      <c r="AT184" s="1"/>
      <c r="AU184" s="1"/>
      <c r="AV184" s="1"/>
      <c r="AW184" s="1"/>
      <c r="AX184" s="38">
        <v>50.784502144693676</v>
      </c>
      <c r="AY184" s="1"/>
      <c r="AZ184" s="1"/>
      <c r="BA184" s="1"/>
      <c r="BB184" s="1"/>
      <c r="BC184" s="1"/>
      <c r="BD184" s="38">
        <v>46.80841014884332</v>
      </c>
      <c r="BJ184" s="57">
        <v>57.78923804139747</v>
      </c>
      <c r="BL184" s="16" t="s">
        <v>40</v>
      </c>
    </row>
    <row r="185" spans="1:64" ht="12.75">
      <c r="A185" s="16" t="s">
        <v>41</v>
      </c>
      <c r="B185" s="38">
        <v>50.05599219135925</v>
      </c>
      <c r="C185" s="1"/>
      <c r="D185" s="1"/>
      <c r="E185" s="1"/>
      <c r="F185" s="1"/>
      <c r="G185" s="1"/>
      <c r="H185" s="38">
        <v>53.45690016857709</v>
      </c>
      <c r="I185" s="1"/>
      <c r="J185" s="1"/>
      <c r="K185" s="1"/>
      <c r="L185" s="1"/>
      <c r="M185" s="1"/>
      <c r="N185" s="38">
        <v>55.27962484474382</v>
      </c>
      <c r="O185" s="1"/>
      <c r="P185" s="1"/>
      <c r="Q185" s="1"/>
      <c r="R185" s="1"/>
      <c r="S185" s="1"/>
      <c r="T185" s="38">
        <v>62.195713337040736</v>
      </c>
      <c r="U185" s="1"/>
      <c r="V185" s="1"/>
      <c r="W185" s="1"/>
      <c r="X185" s="1"/>
      <c r="Y185" s="1"/>
      <c r="Z185" s="38">
        <v>63.74271891782933</v>
      </c>
      <c r="AA185" s="1"/>
      <c r="AB185" s="1"/>
      <c r="AC185" s="1"/>
      <c r="AD185" s="1"/>
      <c r="AE185" s="1"/>
      <c r="AF185" s="38">
        <v>46.05311780390947</v>
      </c>
      <c r="AG185" s="1"/>
      <c r="AH185" s="1"/>
      <c r="AI185" s="1"/>
      <c r="AJ185" s="1"/>
      <c r="AK185" s="1"/>
      <c r="AL185" s="38">
        <v>40.0972399078257</v>
      </c>
      <c r="AM185" s="1"/>
      <c r="AN185" s="1"/>
      <c r="AO185" s="1"/>
      <c r="AP185" s="1"/>
      <c r="AQ185" s="1"/>
      <c r="AR185" s="38">
        <v>43.46306573761038</v>
      </c>
      <c r="AS185" s="1"/>
      <c r="AT185" s="1"/>
      <c r="AU185" s="1"/>
      <c r="AV185" s="1"/>
      <c r="AW185" s="1"/>
      <c r="AX185" s="38">
        <v>43.779380525427115</v>
      </c>
      <c r="AY185" s="1"/>
      <c r="AZ185" s="1"/>
      <c r="BA185" s="1"/>
      <c r="BB185" s="1"/>
      <c r="BC185" s="1"/>
      <c r="BD185" s="38">
        <v>44.497824439486294</v>
      </c>
      <c r="BJ185" s="57">
        <v>50.05599219135926</v>
      </c>
      <c r="BL185" s="16" t="s">
        <v>41</v>
      </c>
    </row>
    <row r="186" spans="1:64" ht="12.75">
      <c r="A186" s="16" t="s">
        <v>42</v>
      </c>
      <c r="B186" s="38">
        <v>50.140304757498676</v>
      </c>
      <c r="C186" s="1"/>
      <c r="D186" s="1"/>
      <c r="E186" s="1"/>
      <c r="F186" s="1"/>
      <c r="G186" s="1"/>
      <c r="H186" s="38">
        <v>42.42847812608472</v>
      </c>
      <c r="I186" s="1"/>
      <c r="J186" s="1"/>
      <c r="K186" s="1"/>
      <c r="L186" s="1"/>
      <c r="M186" s="1"/>
      <c r="N186" s="38">
        <v>45.32746002051396</v>
      </c>
      <c r="O186" s="1"/>
      <c r="P186" s="1"/>
      <c r="Q186" s="1"/>
      <c r="R186" s="1"/>
      <c r="S186" s="1"/>
      <c r="T186" s="38">
        <v>47.812631093408314</v>
      </c>
      <c r="U186" s="1"/>
      <c r="V186" s="1"/>
      <c r="W186" s="1"/>
      <c r="X186" s="1"/>
      <c r="Y186" s="1"/>
      <c r="Z186" s="38">
        <v>55.334924167511154</v>
      </c>
      <c r="AA186" s="1"/>
      <c r="AB186" s="1"/>
      <c r="AC186" s="1"/>
      <c r="AD186" s="1"/>
      <c r="AE186" s="1"/>
      <c r="AF186" s="38">
        <v>57.74129798576777</v>
      </c>
      <c r="AG186" s="1"/>
      <c r="AH186" s="1"/>
      <c r="AI186" s="1"/>
      <c r="AJ186" s="1"/>
      <c r="AK186" s="1"/>
      <c r="AL186" s="38">
        <v>41.11329615449616</v>
      </c>
      <c r="AM186" s="1"/>
      <c r="AN186" s="1"/>
      <c r="AO186" s="1"/>
      <c r="AP186" s="1"/>
      <c r="AQ186" s="1"/>
      <c r="AR186" s="38">
        <v>36.73013580517484</v>
      </c>
      <c r="AS186" s="1"/>
      <c r="AT186" s="1"/>
      <c r="AU186" s="1"/>
      <c r="AV186" s="1"/>
      <c r="AW186" s="1"/>
      <c r="AX186" s="38">
        <v>37.42988021743518</v>
      </c>
      <c r="AY186" s="1"/>
      <c r="AZ186" s="1"/>
      <c r="BA186" s="1"/>
      <c r="BB186" s="1"/>
      <c r="BC186" s="1"/>
      <c r="BD186" s="38">
        <v>42.65692111810933</v>
      </c>
      <c r="BJ186" s="57">
        <v>50.14030475749868</v>
      </c>
      <c r="BL186" s="16" t="s">
        <v>42</v>
      </c>
    </row>
    <row r="187" spans="1:64" ht="12.75">
      <c r="A187" s="16" t="s">
        <v>43</v>
      </c>
      <c r="B187" s="38">
        <v>39.50313956215835</v>
      </c>
      <c r="C187" s="1"/>
      <c r="D187" s="1"/>
      <c r="E187" s="1"/>
      <c r="F187" s="1"/>
      <c r="G187" s="1"/>
      <c r="H187" s="38">
        <v>34.633024917688495</v>
      </c>
      <c r="I187" s="1"/>
      <c r="J187" s="1"/>
      <c r="K187" s="1"/>
      <c r="L187" s="1"/>
      <c r="M187" s="1"/>
      <c r="N187" s="38">
        <v>29.3767587662883</v>
      </c>
      <c r="O187" s="1"/>
      <c r="P187" s="1"/>
      <c r="Q187" s="1"/>
      <c r="R187" s="1"/>
      <c r="S187" s="1"/>
      <c r="T187" s="38">
        <v>31.99622068016665</v>
      </c>
      <c r="U187" s="1"/>
      <c r="V187" s="1"/>
      <c r="W187" s="1"/>
      <c r="X187" s="1"/>
      <c r="Y187" s="1"/>
      <c r="Z187" s="38">
        <v>34.73868800844746</v>
      </c>
      <c r="AA187" s="1"/>
      <c r="AB187" s="1"/>
      <c r="AC187" s="1"/>
      <c r="AD187" s="1"/>
      <c r="AE187" s="1"/>
      <c r="AF187" s="38">
        <v>40.929425368646406</v>
      </c>
      <c r="AG187" s="1"/>
      <c r="AH187" s="1"/>
      <c r="AI187" s="1"/>
      <c r="AJ187" s="1"/>
      <c r="AK187" s="1"/>
      <c r="AL187" s="38">
        <v>42.056371195054616</v>
      </c>
      <c r="AM187" s="1"/>
      <c r="AN187" s="1"/>
      <c r="AO187" s="1"/>
      <c r="AP187" s="1"/>
      <c r="AQ187" s="1"/>
      <c r="AR187" s="38">
        <v>31.27624148709147</v>
      </c>
      <c r="AS187" s="1"/>
      <c r="AT187" s="1"/>
      <c r="AU187" s="1"/>
      <c r="AV187" s="1"/>
      <c r="AW187" s="1"/>
      <c r="AX187" s="38">
        <v>31.007597267645572</v>
      </c>
      <c r="AY187" s="1"/>
      <c r="AZ187" s="1"/>
      <c r="BA187" s="1"/>
      <c r="BB187" s="1"/>
      <c r="BC187" s="1"/>
      <c r="BD187" s="38">
        <v>35.90932644523755</v>
      </c>
      <c r="BJ187" s="57">
        <v>39.50313956215836</v>
      </c>
      <c r="BL187" s="16" t="s">
        <v>43</v>
      </c>
    </row>
    <row r="188" spans="1:64" ht="12.75">
      <c r="A188" s="16" t="s">
        <v>44</v>
      </c>
      <c r="B188" s="38">
        <v>29.632624207002486</v>
      </c>
      <c r="C188" s="1"/>
      <c r="D188" s="1"/>
      <c r="E188" s="1"/>
      <c r="F188" s="1"/>
      <c r="G188" s="1"/>
      <c r="H188" s="38">
        <v>31.30915177394892</v>
      </c>
      <c r="I188" s="1"/>
      <c r="J188" s="1"/>
      <c r="K188" s="1"/>
      <c r="L188" s="1"/>
      <c r="M188" s="1"/>
      <c r="N188" s="38">
        <v>27.56053681436829</v>
      </c>
      <c r="O188" s="1"/>
      <c r="P188" s="1"/>
      <c r="Q188" s="1"/>
      <c r="R188" s="1"/>
      <c r="S188" s="1"/>
      <c r="T188" s="38">
        <v>23.85523030394558</v>
      </c>
      <c r="U188" s="1"/>
      <c r="V188" s="1"/>
      <c r="W188" s="1"/>
      <c r="X188" s="1"/>
      <c r="Y188" s="1"/>
      <c r="Z188" s="38">
        <v>26.7423691069217</v>
      </c>
      <c r="AA188" s="1"/>
      <c r="AB188" s="1"/>
      <c r="AC188" s="1"/>
      <c r="AD188" s="1"/>
      <c r="AE188" s="1"/>
      <c r="AF188" s="38">
        <v>29.578201127780854</v>
      </c>
      <c r="AG188" s="1"/>
      <c r="AH188" s="1"/>
      <c r="AI188" s="1"/>
      <c r="AJ188" s="1"/>
      <c r="AK188" s="1"/>
      <c r="AL188" s="38">
        <v>34.320638876582265</v>
      </c>
      <c r="AM188" s="1"/>
      <c r="AN188" s="1"/>
      <c r="AO188" s="1"/>
      <c r="AP188" s="1"/>
      <c r="AQ188" s="1"/>
      <c r="AR188" s="38">
        <v>28.24820671569277</v>
      </c>
      <c r="AS188" s="1"/>
      <c r="AT188" s="1"/>
      <c r="AU188" s="1"/>
      <c r="AV188" s="1"/>
      <c r="AW188" s="1"/>
      <c r="AX188" s="38">
        <v>26.695487879073582</v>
      </c>
      <c r="AY188" s="1"/>
      <c r="AZ188" s="1"/>
      <c r="BA188" s="1"/>
      <c r="BB188" s="1"/>
      <c r="BC188" s="1"/>
      <c r="BD188" s="38">
        <v>23.484070887998808</v>
      </c>
      <c r="BJ188" s="57">
        <v>29.632624207002486</v>
      </c>
      <c r="BL188" s="16" t="s">
        <v>44</v>
      </c>
    </row>
    <row r="189" spans="1:64" ht="12.75">
      <c r="A189" s="16" t="s">
        <v>45</v>
      </c>
      <c r="B189" s="38">
        <v>17.79427517675913</v>
      </c>
      <c r="C189" s="1"/>
      <c r="D189" s="1"/>
      <c r="E189" s="1"/>
      <c r="F189" s="1"/>
      <c r="G189" s="1"/>
      <c r="H189" s="38">
        <v>20.591964413446718</v>
      </c>
      <c r="I189" s="1"/>
      <c r="J189" s="1"/>
      <c r="K189" s="1"/>
      <c r="L189" s="1"/>
      <c r="M189" s="1"/>
      <c r="N189" s="38">
        <v>21.86325733488202</v>
      </c>
      <c r="O189" s="1"/>
      <c r="P189" s="1"/>
      <c r="Q189" s="1"/>
      <c r="R189" s="1"/>
      <c r="S189" s="1"/>
      <c r="T189" s="38">
        <v>19.648520783254458</v>
      </c>
      <c r="U189" s="1"/>
      <c r="V189" s="1"/>
      <c r="W189" s="1"/>
      <c r="X189" s="1"/>
      <c r="Y189" s="1"/>
      <c r="Z189" s="38">
        <v>17.52236555615679</v>
      </c>
      <c r="AA189" s="1"/>
      <c r="AB189" s="1"/>
      <c r="AC189" s="1"/>
      <c r="AD189" s="1"/>
      <c r="AE189" s="1"/>
      <c r="AF189" s="38">
        <v>20.013761976723792</v>
      </c>
      <c r="AG189" s="1"/>
      <c r="AH189" s="1"/>
      <c r="AI189" s="1"/>
      <c r="AJ189" s="1"/>
      <c r="AK189" s="1"/>
      <c r="AL189" s="38">
        <v>21.815837696995537</v>
      </c>
      <c r="AM189" s="1"/>
      <c r="AN189" s="1"/>
      <c r="AO189" s="1"/>
      <c r="AP189" s="1"/>
      <c r="AQ189" s="1"/>
      <c r="AR189" s="38">
        <v>25.09981444956072</v>
      </c>
      <c r="AS189" s="1"/>
      <c r="AT189" s="1"/>
      <c r="AU189" s="1"/>
      <c r="AV189" s="1"/>
      <c r="AW189" s="1"/>
      <c r="AX189" s="38">
        <v>25.084572888624837</v>
      </c>
      <c r="AY189" s="1"/>
      <c r="AZ189" s="1"/>
      <c r="BA189" s="1"/>
      <c r="BB189" s="1"/>
      <c r="BC189" s="1"/>
      <c r="BD189" s="38">
        <v>17.9980562894501</v>
      </c>
      <c r="BJ189" s="57">
        <v>17.794275176759133</v>
      </c>
      <c r="BL189" s="16" t="s">
        <v>45</v>
      </c>
    </row>
    <row r="190" spans="1:64" ht="12.75">
      <c r="A190" s="16" t="s">
        <v>46</v>
      </c>
      <c r="B190" s="38">
        <v>18.508770128274005</v>
      </c>
      <c r="C190" s="1"/>
      <c r="D190" s="1"/>
      <c r="E190" s="1"/>
      <c r="F190" s="1"/>
      <c r="G190" s="1"/>
      <c r="H190" s="38">
        <v>32.99180489068297</v>
      </c>
      <c r="I190" s="1"/>
      <c r="J190" s="1"/>
      <c r="K190" s="1"/>
      <c r="L190" s="1"/>
      <c r="M190" s="1"/>
      <c r="N190" s="38">
        <v>38.4265228948273</v>
      </c>
      <c r="O190" s="1"/>
      <c r="P190" s="1"/>
      <c r="Q190" s="1"/>
      <c r="R190" s="1"/>
      <c r="S190" s="1"/>
      <c r="T190" s="38">
        <v>41.65421051834213</v>
      </c>
      <c r="U190" s="1"/>
      <c r="V190" s="1"/>
      <c r="W190" s="1"/>
      <c r="X190" s="1"/>
      <c r="Y190" s="1"/>
      <c r="Z190" s="38">
        <v>38.60614311618739</v>
      </c>
      <c r="AA190" s="1"/>
      <c r="AB190" s="1"/>
      <c r="AC190" s="1"/>
      <c r="AD190" s="1"/>
      <c r="AE190" s="1"/>
      <c r="AF190" s="38">
        <v>35.11368202205095</v>
      </c>
      <c r="AG190" s="1"/>
      <c r="AH190" s="1"/>
      <c r="AI190" s="1"/>
      <c r="AJ190" s="1"/>
      <c r="AK190" s="1"/>
      <c r="AL190" s="38">
        <v>39.521087075332204</v>
      </c>
      <c r="AM190" s="1"/>
      <c r="AN190" s="1"/>
      <c r="AO190" s="1"/>
      <c r="AP190" s="1"/>
      <c r="AQ190" s="1"/>
      <c r="AR190" s="38">
        <v>24.81433946938142</v>
      </c>
      <c r="AS190" s="1"/>
      <c r="AT190" s="1"/>
      <c r="AU190" s="1"/>
      <c r="AV190" s="1"/>
      <c r="AW190" s="1"/>
      <c r="AX190" s="38">
        <v>23.264803079907466</v>
      </c>
      <c r="AY190" s="1"/>
      <c r="AZ190" s="1"/>
      <c r="BA190" s="1"/>
      <c r="BB190" s="1"/>
      <c r="BC190" s="1"/>
      <c r="BD190" s="38">
        <v>23.462427964662776</v>
      </c>
      <c r="BJ190" s="57">
        <v>18.508770128274005</v>
      </c>
      <c r="BL190" s="16" t="s">
        <v>46</v>
      </c>
    </row>
    <row r="191" spans="1:64" ht="12.75">
      <c r="A191" s="16" t="s">
        <v>47</v>
      </c>
      <c r="B191" s="38">
        <v>18.532010130479097</v>
      </c>
      <c r="C191" s="1"/>
      <c r="D191" s="1"/>
      <c r="E191" s="1"/>
      <c r="F191" s="1"/>
      <c r="G191" s="1"/>
      <c r="H191" s="38">
        <v>9.390792751839435</v>
      </c>
      <c r="I191" s="1"/>
      <c r="J191" s="1"/>
      <c r="K191" s="1"/>
      <c r="L191" s="1"/>
      <c r="M191" s="1"/>
      <c r="N191" s="38">
        <v>16.767919599962696</v>
      </c>
      <c r="O191" s="1"/>
      <c r="P191" s="1"/>
      <c r="Q191" s="1"/>
      <c r="R191" s="1"/>
      <c r="S191" s="1"/>
      <c r="T191" s="38">
        <v>19.949543610431217</v>
      </c>
      <c r="U191" s="1"/>
      <c r="V191" s="1"/>
      <c r="W191" s="1"/>
      <c r="X191" s="1"/>
      <c r="Y191" s="1"/>
      <c r="Z191" s="38">
        <v>22.3048353591739</v>
      </c>
      <c r="AA191" s="1"/>
      <c r="AB191" s="1"/>
      <c r="AC191" s="1"/>
      <c r="AD191" s="1"/>
      <c r="AE191" s="1"/>
      <c r="AF191" s="38">
        <v>21.100688158637514</v>
      </c>
      <c r="AG191" s="1"/>
      <c r="AH191" s="1"/>
      <c r="AI191" s="1"/>
      <c r="AJ191" s="1"/>
      <c r="AK191" s="1"/>
      <c r="AL191" s="38">
        <v>18.939242580164237</v>
      </c>
      <c r="AM191" s="1"/>
      <c r="AN191" s="1"/>
      <c r="AO191" s="1"/>
      <c r="AP191" s="1"/>
      <c r="AQ191" s="1"/>
      <c r="AR191" s="38">
        <v>20.477700227778023</v>
      </c>
      <c r="AS191" s="1"/>
      <c r="AT191" s="1"/>
      <c r="AU191" s="1"/>
      <c r="AV191" s="1"/>
      <c r="AW191" s="1"/>
      <c r="AX191" s="38">
        <v>20.531168797380897</v>
      </c>
      <c r="AY191" s="1"/>
      <c r="AZ191" s="1"/>
      <c r="BA191" s="1"/>
      <c r="BB191" s="1"/>
      <c r="BC191" s="1"/>
      <c r="BD191" s="38">
        <v>23.3090324317109</v>
      </c>
      <c r="BJ191" s="57">
        <v>18.5320101304791</v>
      </c>
      <c r="BL191" s="16" t="s">
        <v>47</v>
      </c>
    </row>
    <row r="192" spans="1:64" ht="12.75">
      <c r="A192" s="16" t="s">
        <v>48</v>
      </c>
      <c r="B192" s="38">
        <v>11.451646202853873</v>
      </c>
      <c r="C192" s="1"/>
      <c r="D192" s="1"/>
      <c r="E192" s="1"/>
      <c r="F192" s="1"/>
      <c r="G192" s="1"/>
      <c r="H192" s="38">
        <v>14.611000303635674</v>
      </c>
      <c r="I192" s="1"/>
      <c r="J192" s="1"/>
      <c r="K192" s="1"/>
      <c r="L192" s="1"/>
      <c r="M192" s="1"/>
      <c r="N192" s="38">
        <v>7.477114933892919</v>
      </c>
      <c r="O192" s="1"/>
      <c r="P192" s="1"/>
      <c r="Q192" s="1"/>
      <c r="R192" s="1"/>
      <c r="S192" s="1"/>
      <c r="T192" s="38">
        <v>13.598377858305657</v>
      </c>
      <c r="U192" s="1"/>
      <c r="V192" s="1"/>
      <c r="W192" s="1"/>
      <c r="X192" s="1"/>
      <c r="Y192" s="1"/>
      <c r="Z192" s="38">
        <v>16.70727521251319</v>
      </c>
      <c r="AA192" s="1"/>
      <c r="AB192" s="1"/>
      <c r="AC192" s="1"/>
      <c r="AD192" s="1"/>
      <c r="AE192" s="1"/>
      <c r="AF192" s="38">
        <v>19.07855743222632</v>
      </c>
      <c r="AG192" s="1"/>
      <c r="AH192" s="1"/>
      <c r="AI192" s="1"/>
      <c r="AJ192" s="1"/>
      <c r="AK192" s="1"/>
      <c r="AL192" s="38">
        <v>17.831062364895335</v>
      </c>
      <c r="AM192" s="1"/>
      <c r="AN192" s="1"/>
      <c r="AO192" s="1"/>
      <c r="AP192" s="1"/>
      <c r="AQ192" s="1"/>
      <c r="AR192" s="38">
        <v>17.82827282315942</v>
      </c>
      <c r="AS192" s="1"/>
      <c r="AT192" s="1"/>
      <c r="AU192" s="1"/>
      <c r="AV192" s="1"/>
      <c r="AW192" s="1"/>
      <c r="AX192" s="38">
        <v>18.204522241885467</v>
      </c>
      <c r="AY192" s="1"/>
      <c r="AZ192" s="1"/>
      <c r="BA192" s="1"/>
      <c r="BB192" s="1"/>
      <c r="BC192" s="1"/>
      <c r="BD192" s="38">
        <v>19.595424439720922</v>
      </c>
      <c r="BJ192" s="57">
        <v>11.451646202853873</v>
      </c>
      <c r="BL192" s="16" t="s">
        <v>48</v>
      </c>
    </row>
    <row r="193" spans="1:64" ht="12.75">
      <c r="A193" s="16" t="s">
        <v>49</v>
      </c>
      <c r="B193" s="38">
        <v>7.647041655812324</v>
      </c>
      <c r="C193" s="1"/>
      <c r="D193" s="1"/>
      <c r="E193" s="1"/>
      <c r="F193" s="1"/>
      <c r="G193" s="1"/>
      <c r="H193" s="38">
        <v>5.997999169488434</v>
      </c>
      <c r="I193" s="1"/>
      <c r="J193" s="1"/>
      <c r="K193" s="1"/>
      <c r="L193" s="1"/>
      <c r="M193" s="1"/>
      <c r="N193" s="38">
        <v>7.715941017334595</v>
      </c>
      <c r="O193" s="1"/>
      <c r="P193" s="1"/>
      <c r="Q193" s="1"/>
      <c r="R193" s="1"/>
      <c r="S193" s="1"/>
      <c r="T193" s="38">
        <v>4.040794975440148</v>
      </c>
      <c r="U193" s="1"/>
      <c r="V193" s="1"/>
      <c r="W193" s="1"/>
      <c r="X193" s="1"/>
      <c r="Y193" s="1"/>
      <c r="Z193" s="38">
        <v>7.579607539241021</v>
      </c>
      <c r="AA193" s="1"/>
      <c r="AB193" s="1"/>
      <c r="AC193" s="1"/>
      <c r="AD193" s="1"/>
      <c r="AE193" s="1"/>
      <c r="AF193" s="38">
        <v>9.523606884579486</v>
      </c>
      <c r="AG193" s="1"/>
      <c r="AH193" s="1"/>
      <c r="AI193" s="1"/>
      <c r="AJ193" s="1"/>
      <c r="AK193" s="1"/>
      <c r="AL193" s="38">
        <v>10.75411132077657</v>
      </c>
      <c r="AM193" s="1"/>
      <c r="AN193" s="1"/>
      <c r="AO193" s="1"/>
      <c r="AP193" s="1"/>
      <c r="AQ193" s="1"/>
      <c r="AR193" s="38">
        <v>15.140853601823242</v>
      </c>
      <c r="AS193" s="1"/>
      <c r="AT193" s="1"/>
      <c r="AU193" s="1"/>
      <c r="AV193" s="1"/>
      <c r="AW193" s="1"/>
      <c r="AX193" s="38">
        <v>15.496605935782453</v>
      </c>
      <c r="AY193" s="1"/>
      <c r="AZ193" s="1"/>
      <c r="BA193" s="1"/>
      <c r="BB193" s="1"/>
      <c r="BC193" s="1"/>
      <c r="BD193" s="38">
        <v>17.289841853684372</v>
      </c>
      <c r="BJ193" s="57">
        <v>7.647041655812325</v>
      </c>
      <c r="BL193" s="16" t="s">
        <v>49</v>
      </c>
    </row>
    <row r="194" spans="1:64" ht="12.75">
      <c r="A194" s="16" t="s">
        <v>50</v>
      </c>
      <c r="B194" s="38">
        <v>2.939049581193541</v>
      </c>
      <c r="C194" s="1"/>
      <c r="D194" s="1"/>
      <c r="E194" s="1"/>
      <c r="F194" s="1"/>
      <c r="G194" s="1"/>
      <c r="H194" s="38">
        <v>4.780182267112019</v>
      </c>
      <c r="I194" s="1"/>
      <c r="J194" s="1"/>
      <c r="K194" s="1"/>
      <c r="L194" s="1"/>
      <c r="M194" s="1"/>
      <c r="N194" s="38">
        <v>3.795398062164407</v>
      </c>
      <c r="O194" s="1"/>
      <c r="P194" s="1"/>
      <c r="Q194" s="1"/>
      <c r="R194" s="1"/>
      <c r="S194" s="1"/>
      <c r="T194" s="38">
        <v>4.988171805869575</v>
      </c>
      <c r="U194" s="1"/>
      <c r="V194" s="1"/>
      <c r="W194" s="1"/>
      <c r="X194" s="1"/>
      <c r="Y194" s="1"/>
      <c r="Z194" s="38">
        <v>2.705538777499424</v>
      </c>
      <c r="AA194" s="1"/>
      <c r="AB194" s="1"/>
      <c r="AC194" s="1"/>
      <c r="AD194" s="1"/>
      <c r="AE194" s="1"/>
      <c r="AF194" s="38">
        <v>5.185029688925656</v>
      </c>
      <c r="AG194" s="1"/>
      <c r="AH194" s="1"/>
      <c r="AI194" s="1"/>
      <c r="AJ194" s="1"/>
      <c r="AK194" s="1"/>
      <c r="AL194" s="38">
        <v>6.451046323477946</v>
      </c>
      <c r="AM194" s="1"/>
      <c r="AN194" s="1"/>
      <c r="AO194" s="1"/>
      <c r="AP194" s="1"/>
      <c r="AQ194" s="1"/>
      <c r="AR194" s="38">
        <v>11.58311898769636</v>
      </c>
      <c r="AS194" s="1"/>
      <c r="AT194" s="1"/>
      <c r="AU194" s="1"/>
      <c r="AV194" s="1"/>
      <c r="AW194" s="1"/>
      <c r="AX194" s="38">
        <v>11.941505067997944</v>
      </c>
      <c r="AY194" s="1"/>
      <c r="AZ194" s="1"/>
      <c r="BA194" s="1"/>
      <c r="BB194" s="1"/>
      <c r="BC194" s="1"/>
      <c r="BD194" s="38">
        <v>10.848465198450922</v>
      </c>
      <c r="BJ194" s="57">
        <v>2.9390495811935415</v>
      </c>
      <c r="BL194" s="16" t="s">
        <v>50</v>
      </c>
    </row>
    <row r="195" spans="1:64" ht="12.75">
      <c r="A195" s="16" t="s">
        <v>65</v>
      </c>
      <c r="B195" s="38">
        <v>1.4603368827482435</v>
      </c>
      <c r="C195" s="1"/>
      <c r="D195" s="1"/>
      <c r="E195" s="1"/>
      <c r="F195" s="1"/>
      <c r="G195" s="1"/>
      <c r="H195" s="38">
        <v>2.02521915858824</v>
      </c>
      <c r="I195" s="1"/>
      <c r="J195" s="1"/>
      <c r="K195" s="1"/>
      <c r="L195" s="1"/>
      <c r="M195" s="1"/>
      <c r="N195" s="38">
        <v>3.3344391825838104</v>
      </c>
      <c r="O195" s="1"/>
      <c r="P195" s="1"/>
      <c r="Q195" s="1"/>
      <c r="R195" s="1"/>
      <c r="S195" s="1"/>
      <c r="T195" s="38">
        <v>2.710323145230184</v>
      </c>
      <c r="U195" s="1"/>
      <c r="V195" s="1"/>
      <c r="W195" s="1"/>
      <c r="X195" s="1"/>
      <c r="Y195" s="1"/>
      <c r="Z195" s="38">
        <v>3.684347184751667</v>
      </c>
      <c r="AA195" s="1"/>
      <c r="AB195" s="1"/>
      <c r="AC195" s="1"/>
      <c r="AD195" s="1"/>
      <c r="AE195" s="1"/>
      <c r="AF195" s="38">
        <v>2.05033761668076</v>
      </c>
      <c r="AG195" s="1"/>
      <c r="AH195" s="1"/>
      <c r="AI195" s="1"/>
      <c r="AJ195" s="1"/>
      <c r="AK195" s="1"/>
      <c r="AL195" s="38">
        <v>3.8850715790285353</v>
      </c>
      <c r="AM195" s="1"/>
      <c r="AN195" s="1"/>
      <c r="AO195" s="1"/>
      <c r="AP195" s="1"/>
      <c r="AQ195" s="1"/>
      <c r="AR195" s="38">
        <v>7.829503369509502</v>
      </c>
      <c r="AS195" s="1"/>
      <c r="AT195" s="1"/>
      <c r="AU195" s="1"/>
      <c r="AV195" s="1"/>
      <c r="AW195" s="1"/>
      <c r="AX195" s="38">
        <v>8.235612221975021</v>
      </c>
      <c r="AY195" s="1"/>
      <c r="AZ195" s="1"/>
      <c r="BA195" s="1"/>
      <c r="BB195" s="1"/>
      <c r="BC195" s="1"/>
      <c r="BD195" s="38">
        <v>7.809486510389992</v>
      </c>
      <c r="BJ195" s="57">
        <v>1.4603368827482437</v>
      </c>
      <c r="BL195" s="16" t="s">
        <v>65</v>
      </c>
    </row>
    <row r="196" spans="1:64" ht="12.75">
      <c r="A196" s="16" t="s">
        <v>66</v>
      </c>
      <c r="B196" s="38">
        <v>0.9047386904961361</v>
      </c>
      <c r="C196" s="1"/>
      <c r="D196" s="1"/>
      <c r="E196" s="1"/>
      <c r="F196" s="1"/>
      <c r="G196" s="1"/>
      <c r="H196" s="38">
        <v>0.7385345316804803</v>
      </c>
      <c r="I196" s="1"/>
      <c r="J196" s="1"/>
      <c r="K196" s="1"/>
      <c r="L196" s="1"/>
      <c r="M196" s="1"/>
      <c r="N196" s="38">
        <v>0.8454608728426927</v>
      </c>
      <c r="O196" s="1"/>
      <c r="P196" s="1"/>
      <c r="Q196" s="1"/>
      <c r="R196" s="1"/>
      <c r="S196" s="1"/>
      <c r="T196" s="38">
        <v>1.28383383149212</v>
      </c>
      <c r="U196" s="1"/>
      <c r="V196" s="1"/>
      <c r="W196" s="1"/>
      <c r="X196" s="1"/>
      <c r="Y196" s="1"/>
      <c r="Z196" s="38">
        <v>1.310993737928</v>
      </c>
      <c r="AA196" s="1"/>
      <c r="AB196" s="1"/>
      <c r="AC196" s="1"/>
      <c r="AD196" s="1"/>
      <c r="AE196" s="1"/>
      <c r="AF196" s="38">
        <v>1.6510205680839054</v>
      </c>
      <c r="AG196" s="1"/>
      <c r="AH196" s="1"/>
      <c r="AI196" s="1"/>
      <c r="AJ196" s="1"/>
      <c r="AK196" s="1"/>
      <c r="AL196" s="38">
        <v>1.2720825986045738</v>
      </c>
      <c r="AM196" s="1"/>
      <c r="AN196" s="1"/>
      <c r="AO196" s="1"/>
      <c r="AP196" s="1"/>
      <c r="AQ196" s="1"/>
      <c r="AR196" s="38">
        <v>10.740337282996483</v>
      </c>
      <c r="AS196" s="1"/>
      <c r="AT196" s="1"/>
      <c r="AU196" s="1"/>
      <c r="AV196" s="1"/>
      <c r="AW196" s="1"/>
      <c r="AX196" s="38">
        <v>12.039994010193007</v>
      </c>
      <c r="AY196" s="1"/>
      <c r="AZ196" s="1"/>
      <c r="BA196" s="1"/>
      <c r="BB196" s="1"/>
      <c r="BC196" s="1"/>
      <c r="BD196" s="38">
        <v>14.458438239646448</v>
      </c>
      <c r="BJ196" s="57">
        <v>0.9047386904961362</v>
      </c>
      <c r="BL196" s="16" t="s">
        <v>66</v>
      </c>
    </row>
    <row r="197" spans="2:62" ht="12.75">
      <c r="B197" s="38"/>
      <c r="C197" s="1"/>
      <c r="D197" s="1"/>
      <c r="E197" s="1"/>
      <c r="F197" s="1"/>
      <c r="G197" s="1"/>
      <c r="H197" s="38"/>
      <c r="I197" s="1"/>
      <c r="J197" s="1"/>
      <c r="K197" s="1"/>
      <c r="L197" s="1"/>
      <c r="M197" s="1"/>
      <c r="N197" s="38"/>
      <c r="O197" s="1"/>
      <c r="P197" s="1"/>
      <c r="Q197" s="1"/>
      <c r="R197" s="1"/>
      <c r="S197" s="1"/>
      <c r="T197" s="38"/>
      <c r="U197" s="1"/>
      <c r="V197" s="1"/>
      <c r="W197" s="1"/>
      <c r="X197" s="1"/>
      <c r="Y197" s="1"/>
      <c r="Z197" s="38"/>
      <c r="AA197" s="1"/>
      <c r="AB197" s="1"/>
      <c r="AC197" s="1"/>
      <c r="AD197" s="1"/>
      <c r="AE197" s="1"/>
      <c r="AF197" s="38"/>
      <c r="AG197" s="1"/>
      <c r="AH197" s="1"/>
      <c r="AI197" s="1"/>
      <c r="AJ197" s="1"/>
      <c r="AK197" s="1"/>
      <c r="AL197" s="38"/>
      <c r="AM197" s="1"/>
      <c r="AN197" s="1"/>
      <c r="AO197" s="1"/>
      <c r="AP197" s="1"/>
      <c r="AQ197" s="1"/>
      <c r="AR197" s="38"/>
      <c r="AS197" s="1"/>
      <c r="AT197" s="1"/>
      <c r="AU197" s="1"/>
      <c r="AV197" s="1"/>
      <c r="AW197" s="1"/>
      <c r="AX197" s="38"/>
      <c r="AY197" s="1"/>
      <c r="AZ197" s="1"/>
      <c r="BA197" s="1"/>
      <c r="BB197" s="1"/>
      <c r="BC197" s="1"/>
      <c r="BD197" s="38"/>
      <c r="BJ197" s="57"/>
    </row>
    <row r="198" spans="2:62" ht="12.75">
      <c r="B198" s="38"/>
      <c r="C198" s="1"/>
      <c r="D198" s="1"/>
      <c r="E198" s="1"/>
      <c r="F198" s="1"/>
      <c r="G198" s="1"/>
      <c r="H198" s="38"/>
      <c r="I198" s="1"/>
      <c r="J198" s="1"/>
      <c r="K198" s="1"/>
      <c r="L198" s="1"/>
      <c r="M198" s="1"/>
      <c r="N198" s="38"/>
      <c r="O198" s="1"/>
      <c r="P198" s="1"/>
      <c r="Q198" s="1"/>
      <c r="R198" s="1"/>
      <c r="S198" s="1"/>
      <c r="T198" s="38"/>
      <c r="U198" s="1"/>
      <c r="V198" s="1"/>
      <c r="W198" s="1"/>
      <c r="X198" s="1"/>
      <c r="Y198" s="1"/>
      <c r="Z198" s="38"/>
      <c r="AA198" s="1"/>
      <c r="AB198" s="1"/>
      <c r="AC198" s="1"/>
      <c r="AD198" s="1"/>
      <c r="AE198" s="1"/>
      <c r="AF198" s="38"/>
      <c r="AG198" s="1"/>
      <c r="AH198" s="1"/>
      <c r="AI198" s="1"/>
      <c r="AJ198" s="1"/>
      <c r="AK198" s="1"/>
      <c r="AL198" s="38"/>
      <c r="AM198" s="1"/>
      <c r="AN198" s="1"/>
      <c r="AO198" s="1"/>
      <c r="AP198" s="1"/>
      <c r="AQ198" s="1"/>
      <c r="AR198" s="38"/>
      <c r="AS198" s="1"/>
      <c r="AT198" s="1"/>
      <c r="AU198" s="1"/>
      <c r="AV198" s="1"/>
      <c r="AW198" s="1"/>
      <c r="AX198" s="38"/>
      <c r="AY198" s="1"/>
      <c r="AZ198" s="1"/>
      <c r="BA198" s="1"/>
      <c r="BB198" s="1"/>
      <c r="BC198" s="1"/>
      <c r="BD198" s="38"/>
      <c r="BJ198" s="57"/>
    </row>
    <row r="199" spans="1:64" ht="12.75">
      <c r="A199" s="37" t="s">
        <v>67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J199" s="47"/>
      <c r="BL199" s="37" t="s">
        <v>67</v>
      </c>
    </row>
    <row r="200" spans="1:64" ht="12.75">
      <c r="A200" s="13" t="s">
        <v>21</v>
      </c>
      <c r="B200" s="38">
        <v>23.91612412971596</v>
      </c>
      <c r="C200" s="1"/>
      <c r="D200" s="1"/>
      <c r="E200" s="1"/>
      <c r="F200" s="1"/>
      <c r="G200" s="1"/>
      <c r="H200" s="38">
        <v>26.500031945455174</v>
      </c>
      <c r="I200" s="1"/>
      <c r="J200" s="1"/>
      <c r="K200" s="1"/>
      <c r="L200" s="1"/>
      <c r="M200" s="1"/>
      <c r="N200" s="38">
        <v>28.74426374796849</v>
      </c>
      <c r="O200" s="1"/>
      <c r="P200" s="1"/>
      <c r="Q200" s="1"/>
      <c r="R200" s="1"/>
      <c r="S200" s="1"/>
      <c r="T200" s="38">
        <v>28.06203387654489</v>
      </c>
      <c r="U200" s="1"/>
      <c r="V200" s="1"/>
      <c r="W200" s="1"/>
      <c r="X200" s="1"/>
      <c r="Y200" s="1"/>
      <c r="Z200" s="38">
        <v>25.46791457955084</v>
      </c>
      <c r="AA200" s="1"/>
      <c r="AB200" s="1"/>
      <c r="AC200" s="1"/>
      <c r="AD200" s="1"/>
      <c r="AE200" s="1"/>
      <c r="AF200" s="38">
        <v>23.443105164710992</v>
      </c>
      <c r="AG200" s="1"/>
      <c r="AH200" s="1"/>
      <c r="AI200" s="1"/>
      <c r="AJ200" s="1"/>
      <c r="AK200" s="1"/>
      <c r="AL200" s="38">
        <v>22.99299879773605</v>
      </c>
      <c r="AM200" s="1"/>
      <c r="AN200" s="1"/>
      <c r="AO200" s="1"/>
      <c r="AP200" s="1"/>
      <c r="AQ200" s="1"/>
      <c r="AR200" s="38">
        <v>27.25575755161939</v>
      </c>
      <c r="AS200" s="1"/>
      <c r="AT200" s="1"/>
      <c r="AU200" s="1"/>
      <c r="AV200" s="1"/>
      <c r="AW200" s="1"/>
      <c r="AX200" s="38">
        <v>27.67470968797202</v>
      </c>
      <c r="AY200" s="1"/>
      <c r="AZ200" s="1"/>
      <c r="BA200" s="1"/>
      <c r="BB200" s="1"/>
      <c r="BC200" s="1"/>
      <c r="BD200" s="38">
        <v>27.175986140801285</v>
      </c>
      <c r="BJ200" s="57">
        <v>23.916124129715964</v>
      </c>
      <c r="BL200" s="13" t="s">
        <v>21</v>
      </c>
    </row>
    <row r="201" spans="1:64" ht="12.75">
      <c r="A201" s="16" t="s">
        <v>33</v>
      </c>
      <c r="B201" s="38">
        <v>32.709762638507705</v>
      </c>
      <c r="C201" s="1"/>
      <c r="D201" s="1"/>
      <c r="E201" s="1"/>
      <c r="F201" s="1"/>
      <c r="G201" s="1"/>
      <c r="H201" s="38">
        <v>27.234725229510456</v>
      </c>
      <c r="I201" s="1"/>
      <c r="J201" s="1"/>
      <c r="K201" s="1"/>
      <c r="L201" s="1"/>
      <c r="M201" s="1"/>
      <c r="N201" s="38">
        <v>30.110352991204536</v>
      </c>
      <c r="O201" s="1"/>
      <c r="P201" s="1"/>
      <c r="Q201" s="1"/>
      <c r="R201" s="1"/>
      <c r="S201" s="1"/>
      <c r="T201" s="38">
        <v>33.2997901763363</v>
      </c>
      <c r="U201" s="1"/>
      <c r="V201" s="1"/>
      <c r="W201" s="1"/>
      <c r="X201" s="1"/>
      <c r="Y201" s="1"/>
      <c r="Z201" s="38">
        <v>33.41539308395513</v>
      </c>
      <c r="AA201" s="1"/>
      <c r="AB201" s="1"/>
      <c r="AC201" s="1"/>
      <c r="AD201" s="1"/>
      <c r="AE201" s="1"/>
      <c r="AF201" s="38">
        <v>30.835929802571773</v>
      </c>
      <c r="AG201" s="1"/>
      <c r="AH201" s="1"/>
      <c r="AI201" s="1"/>
      <c r="AJ201" s="1"/>
      <c r="AK201" s="1"/>
      <c r="AL201" s="38">
        <v>27.893675896253768</v>
      </c>
      <c r="AM201" s="1"/>
      <c r="AN201" s="1"/>
      <c r="AO201" s="1"/>
      <c r="AP201" s="1"/>
      <c r="AQ201" s="1"/>
      <c r="AR201" s="38">
        <v>32.539824252439495</v>
      </c>
      <c r="AS201" s="1"/>
      <c r="AT201" s="1"/>
      <c r="AU201" s="1"/>
      <c r="AV201" s="1"/>
      <c r="AW201" s="1"/>
      <c r="AX201" s="38">
        <v>33.221266749014525</v>
      </c>
      <c r="AY201" s="1"/>
      <c r="AZ201" s="1"/>
      <c r="BA201" s="1"/>
      <c r="BB201" s="1"/>
      <c r="BC201" s="1"/>
      <c r="BD201" s="38">
        <v>34.066460629676456</v>
      </c>
      <c r="BJ201" s="57">
        <v>32.709762638507705</v>
      </c>
      <c r="BL201" s="16" t="s">
        <v>33</v>
      </c>
    </row>
    <row r="202" spans="1:64" ht="12.75">
      <c r="A202" s="16" t="s">
        <v>37</v>
      </c>
      <c r="B202" s="38">
        <v>34.764340972988634</v>
      </c>
      <c r="C202" s="1"/>
      <c r="D202" s="1"/>
      <c r="E202" s="1"/>
      <c r="F202" s="1"/>
      <c r="G202" s="1"/>
      <c r="H202" s="38">
        <v>23.24224982310615</v>
      </c>
      <c r="I202" s="1"/>
      <c r="J202" s="1"/>
      <c r="K202" s="1"/>
      <c r="L202" s="1"/>
      <c r="M202" s="1"/>
      <c r="N202" s="38">
        <v>19.307156185045002</v>
      </c>
      <c r="O202" s="1"/>
      <c r="P202" s="1"/>
      <c r="Q202" s="1"/>
      <c r="R202" s="1"/>
      <c r="S202" s="1"/>
      <c r="T202" s="38">
        <v>21.741258340673532</v>
      </c>
      <c r="U202" s="1"/>
      <c r="V202" s="1"/>
      <c r="W202" s="1"/>
      <c r="X202" s="1"/>
      <c r="Y202" s="1"/>
      <c r="Z202" s="38">
        <v>24.70134299223847</v>
      </c>
      <c r="AA202" s="1"/>
      <c r="AB202" s="1"/>
      <c r="AC202" s="1"/>
      <c r="AD202" s="1"/>
      <c r="AE202" s="1"/>
      <c r="AF202" s="38">
        <v>25.19731898883324</v>
      </c>
      <c r="AG202" s="1"/>
      <c r="AH202" s="1"/>
      <c r="AI202" s="1"/>
      <c r="AJ202" s="1"/>
      <c r="AK202" s="1"/>
      <c r="AL202" s="38">
        <v>22.852224229313205</v>
      </c>
      <c r="AM202" s="1"/>
      <c r="AN202" s="1"/>
      <c r="AO202" s="1"/>
      <c r="AP202" s="1"/>
      <c r="AQ202" s="1"/>
      <c r="AR202" s="38">
        <v>29.609231224894412</v>
      </c>
      <c r="AS202" s="1"/>
      <c r="AT202" s="1"/>
      <c r="AU202" s="1"/>
      <c r="AV202" s="1"/>
      <c r="AW202" s="1"/>
      <c r="AX202" s="38">
        <v>30.496083846111574</v>
      </c>
      <c r="AY202" s="1"/>
      <c r="AZ202" s="1"/>
      <c r="BA202" s="1"/>
      <c r="BB202" s="1"/>
      <c r="BC202" s="1"/>
      <c r="BD202" s="38">
        <v>31.858632056666135</v>
      </c>
      <c r="BJ202" s="57">
        <v>34.764340972988634</v>
      </c>
      <c r="BL202" s="16" t="s">
        <v>37</v>
      </c>
    </row>
    <row r="203" spans="1:64" ht="12.75">
      <c r="A203" s="16" t="s">
        <v>38</v>
      </c>
      <c r="B203" s="38">
        <v>37.166168177627114</v>
      </c>
      <c r="C203" s="1"/>
      <c r="D203" s="1"/>
      <c r="E203" s="1"/>
      <c r="F203" s="1"/>
      <c r="G203" s="1"/>
      <c r="H203" s="38">
        <v>35.94271287336277</v>
      </c>
      <c r="I203" s="1"/>
      <c r="J203" s="1"/>
      <c r="K203" s="1"/>
      <c r="L203" s="1"/>
      <c r="M203" s="1"/>
      <c r="N203" s="38">
        <v>24.041165261419877</v>
      </c>
      <c r="O203" s="1"/>
      <c r="P203" s="1"/>
      <c r="Q203" s="1"/>
      <c r="R203" s="1"/>
      <c r="S203" s="1"/>
      <c r="T203" s="38">
        <v>20.34103680222806</v>
      </c>
      <c r="U203" s="1"/>
      <c r="V203" s="1"/>
      <c r="W203" s="1"/>
      <c r="X203" s="1"/>
      <c r="Y203" s="1"/>
      <c r="Z203" s="38">
        <v>23.517199521330436</v>
      </c>
      <c r="AA203" s="1"/>
      <c r="AB203" s="1"/>
      <c r="AC203" s="1"/>
      <c r="AD203" s="1"/>
      <c r="AE203" s="1"/>
      <c r="AF203" s="38">
        <v>27.156463390544445</v>
      </c>
      <c r="AG203" s="1"/>
      <c r="AH203" s="1"/>
      <c r="AI203" s="1"/>
      <c r="AJ203" s="1"/>
      <c r="AK203" s="1"/>
      <c r="AL203" s="38">
        <v>27.22667698980849</v>
      </c>
      <c r="AM203" s="1"/>
      <c r="AN203" s="1"/>
      <c r="AO203" s="1"/>
      <c r="AP203" s="1"/>
      <c r="AQ203" s="1"/>
      <c r="AR203" s="38">
        <v>32.104571955970286</v>
      </c>
      <c r="AS203" s="1"/>
      <c r="AT203" s="1"/>
      <c r="AU203" s="1"/>
      <c r="AV203" s="1"/>
      <c r="AW203" s="1"/>
      <c r="AX203" s="38">
        <v>32.57349813354863</v>
      </c>
      <c r="AY203" s="1"/>
      <c r="AZ203" s="1"/>
      <c r="BA203" s="1"/>
      <c r="BB203" s="1"/>
      <c r="BC203" s="1"/>
      <c r="BD203" s="38">
        <v>32.32814136343605</v>
      </c>
      <c r="BJ203" s="57">
        <v>37.16616817762712</v>
      </c>
      <c r="BL203" s="16" t="s">
        <v>38</v>
      </c>
    </row>
    <row r="204" spans="1:64" ht="12.75">
      <c r="A204" s="16" t="s">
        <v>39</v>
      </c>
      <c r="B204" s="38">
        <v>49.00775999887582</v>
      </c>
      <c r="C204" s="1"/>
      <c r="D204" s="1"/>
      <c r="E204" s="1"/>
      <c r="F204" s="1"/>
      <c r="G204" s="1"/>
      <c r="H204" s="38">
        <v>53.98439833604195</v>
      </c>
      <c r="I204" s="1"/>
      <c r="J204" s="1"/>
      <c r="K204" s="1"/>
      <c r="L204" s="1"/>
      <c r="M204" s="1"/>
      <c r="N204" s="38">
        <v>52.20816038134139</v>
      </c>
      <c r="O204" s="1"/>
      <c r="P204" s="1"/>
      <c r="Q204" s="1"/>
      <c r="R204" s="1"/>
      <c r="S204" s="1"/>
      <c r="T204" s="38">
        <v>35.651465142374</v>
      </c>
      <c r="U204" s="1"/>
      <c r="V204" s="1"/>
      <c r="W204" s="1"/>
      <c r="X204" s="1"/>
      <c r="Y204" s="1"/>
      <c r="Z204" s="38">
        <v>30.96612712022527</v>
      </c>
      <c r="AA204" s="1"/>
      <c r="AB204" s="1"/>
      <c r="AC204" s="1"/>
      <c r="AD204" s="1"/>
      <c r="AE204" s="1"/>
      <c r="AF204" s="38">
        <v>36.35766227110958</v>
      </c>
      <c r="AG204" s="1"/>
      <c r="AH204" s="1"/>
      <c r="AI204" s="1"/>
      <c r="AJ204" s="1"/>
      <c r="AK204" s="1"/>
      <c r="AL204" s="38">
        <v>41.26095834005083</v>
      </c>
      <c r="AM204" s="1"/>
      <c r="AN204" s="1"/>
      <c r="AO204" s="1"/>
      <c r="AP204" s="1"/>
      <c r="AQ204" s="1"/>
      <c r="AR204" s="38">
        <v>43.40438675977454</v>
      </c>
      <c r="AS204" s="1"/>
      <c r="AT204" s="1"/>
      <c r="AU204" s="1"/>
      <c r="AV204" s="1"/>
      <c r="AW204" s="1"/>
      <c r="AX204" s="38">
        <v>43.24115899607612</v>
      </c>
      <c r="AY204" s="1"/>
      <c r="AZ204" s="1"/>
      <c r="BA204" s="1"/>
      <c r="BB204" s="1"/>
      <c r="BC204" s="1"/>
      <c r="BD204" s="38">
        <v>39.61001795009307</v>
      </c>
      <c r="BJ204" s="57">
        <v>49.007759998875834</v>
      </c>
      <c r="BL204" s="16" t="s">
        <v>39</v>
      </c>
    </row>
    <row r="205" spans="1:64" ht="12.75">
      <c r="A205" s="16" t="s">
        <v>40</v>
      </c>
      <c r="B205" s="38">
        <v>46.17193926468632</v>
      </c>
      <c r="C205" s="1"/>
      <c r="D205" s="1"/>
      <c r="E205" s="1"/>
      <c r="F205" s="1"/>
      <c r="G205" s="1"/>
      <c r="H205" s="38">
        <v>49.25326064043949</v>
      </c>
      <c r="I205" s="1"/>
      <c r="J205" s="1"/>
      <c r="K205" s="1"/>
      <c r="L205" s="1"/>
      <c r="M205" s="1"/>
      <c r="N205" s="38">
        <v>54.21689877828976</v>
      </c>
      <c r="O205" s="1"/>
      <c r="P205" s="1"/>
      <c r="Q205" s="1"/>
      <c r="R205" s="1"/>
      <c r="S205" s="1"/>
      <c r="T205" s="38">
        <v>53.47753666722222</v>
      </c>
      <c r="U205" s="1"/>
      <c r="V205" s="1"/>
      <c r="W205" s="1"/>
      <c r="X205" s="1"/>
      <c r="Y205" s="1"/>
      <c r="Z205" s="38">
        <v>37.57945206288186</v>
      </c>
      <c r="AA205" s="1"/>
      <c r="AB205" s="1"/>
      <c r="AC205" s="1"/>
      <c r="AD205" s="1"/>
      <c r="AE205" s="1"/>
      <c r="AF205" s="38">
        <v>33.15267566719317</v>
      </c>
      <c r="AG205" s="1"/>
      <c r="AH205" s="1"/>
      <c r="AI205" s="1"/>
      <c r="AJ205" s="1"/>
      <c r="AK205" s="1"/>
      <c r="AL205" s="38">
        <v>38.220768630207786</v>
      </c>
      <c r="AM205" s="1"/>
      <c r="AN205" s="1"/>
      <c r="AO205" s="1"/>
      <c r="AP205" s="1"/>
      <c r="AQ205" s="1"/>
      <c r="AR205" s="38">
        <v>46.24171554401357</v>
      </c>
      <c r="AS205" s="1"/>
      <c r="AT205" s="1"/>
      <c r="AU205" s="1"/>
      <c r="AV205" s="1"/>
      <c r="AW205" s="1"/>
      <c r="AX205" s="38">
        <v>46.59141266988196</v>
      </c>
      <c r="AY205" s="1"/>
      <c r="AZ205" s="1"/>
      <c r="BA205" s="1"/>
      <c r="BB205" s="1"/>
      <c r="BC205" s="1"/>
      <c r="BD205" s="38">
        <v>42.89249572287676</v>
      </c>
      <c r="BJ205" s="57">
        <v>46.17193926468633</v>
      </c>
      <c r="BL205" s="16" t="s">
        <v>40</v>
      </c>
    </row>
    <row r="206" spans="1:64" ht="12.75">
      <c r="A206" s="16" t="s">
        <v>41</v>
      </c>
      <c r="B206" s="38">
        <v>39.812826103170465</v>
      </c>
      <c r="C206" s="1"/>
      <c r="D206" s="1"/>
      <c r="E206" s="1"/>
      <c r="F206" s="1"/>
      <c r="G206" s="1"/>
      <c r="H206" s="38">
        <v>43.644285113608056</v>
      </c>
      <c r="I206" s="1"/>
      <c r="J206" s="1"/>
      <c r="K206" s="1"/>
      <c r="L206" s="1"/>
      <c r="M206" s="1"/>
      <c r="N206" s="38">
        <v>46.52992711218438</v>
      </c>
      <c r="O206" s="1"/>
      <c r="P206" s="1"/>
      <c r="Q206" s="1"/>
      <c r="R206" s="1"/>
      <c r="S206" s="1"/>
      <c r="T206" s="38">
        <v>52.21079924239887</v>
      </c>
      <c r="U206" s="1"/>
      <c r="V206" s="1"/>
      <c r="W206" s="1"/>
      <c r="X206" s="1"/>
      <c r="Y206" s="1"/>
      <c r="Z206" s="38">
        <v>52.94293354919393</v>
      </c>
      <c r="AA206" s="1"/>
      <c r="AB206" s="1"/>
      <c r="AC206" s="1"/>
      <c r="AD206" s="1"/>
      <c r="AE206" s="1"/>
      <c r="AF206" s="38">
        <v>37.87292576296276</v>
      </c>
      <c r="AG206" s="1"/>
      <c r="AH206" s="1"/>
      <c r="AI206" s="1"/>
      <c r="AJ206" s="1"/>
      <c r="AK206" s="1"/>
      <c r="AL206" s="38">
        <v>32.81414039239961</v>
      </c>
      <c r="AM206" s="1"/>
      <c r="AN206" s="1"/>
      <c r="AO206" s="1"/>
      <c r="AP206" s="1"/>
      <c r="AQ206" s="1"/>
      <c r="AR206" s="38">
        <v>38.81395286846357</v>
      </c>
      <c r="AS206" s="1"/>
      <c r="AT206" s="1"/>
      <c r="AU206" s="1"/>
      <c r="AV206" s="1"/>
      <c r="AW206" s="1"/>
      <c r="AX206" s="38">
        <v>39.454201299241525</v>
      </c>
      <c r="AY206" s="1"/>
      <c r="AZ206" s="1"/>
      <c r="BA206" s="1"/>
      <c r="BB206" s="1"/>
      <c r="BC206" s="1"/>
      <c r="BD206" s="38">
        <v>39.948999533260476</v>
      </c>
      <c r="BJ206" s="57">
        <v>39.81282610317047</v>
      </c>
      <c r="BL206" s="16" t="s">
        <v>41</v>
      </c>
    </row>
    <row r="207" spans="1:64" ht="12.75">
      <c r="A207" s="16" t="s">
        <v>42</v>
      </c>
      <c r="B207" s="38">
        <v>42.25518819537599</v>
      </c>
      <c r="C207" s="1"/>
      <c r="D207" s="1"/>
      <c r="E207" s="1"/>
      <c r="F207" s="1"/>
      <c r="G207" s="1"/>
      <c r="H207" s="38">
        <v>35.013455213236774</v>
      </c>
      <c r="I207" s="1"/>
      <c r="J207" s="1"/>
      <c r="K207" s="1"/>
      <c r="L207" s="1"/>
      <c r="M207" s="1"/>
      <c r="N207" s="38">
        <v>38.30522279195759</v>
      </c>
      <c r="O207" s="1"/>
      <c r="P207" s="1"/>
      <c r="Q207" s="1"/>
      <c r="R207" s="1"/>
      <c r="S207" s="1"/>
      <c r="T207" s="38">
        <v>41.63260037334694</v>
      </c>
      <c r="U207" s="1"/>
      <c r="V207" s="1"/>
      <c r="W207" s="1"/>
      <c r="X207" s="1"/>
      <c r="Y207" s="1"/>
      <c r="Z207" s="38">
        <v>48.007932208862236</v>
      </c>
      <c r="AA207" s="1"/>
      <c r="AB207" s="1"/>
      <c r="AC207" s="1"/>
      <c r="AD207" s="1"/>
      <c r="AE207" s="1"/>
      <c r="AF207" s="38">
        <v>49.510681281649326</v>
      </c>
      <c r="AG207" s="1"/>
      <c r="AH207" s="1"/>
      <c r="AI207" s="1"/>
      <c r="AJ207" s="1"/>
      <c r="AK207" s="1"/>
      <c r="AL207" s="38">
        <v>34.85779772438618</v>
      </c>
      <c r="AM207" s="1"/>
      <c r="AN207" s="1"/>
      <c r="AO207" s="1"/>
      <c r="AP207" s="1"/>
      <c r="AQ207" s="1"/>
      <c r="AR207" s="38">
        <v>33.36533369831532</v>
      </c>
      <c r="AS207" s="1"/>
      <c r="AT207" s="1"/>
      <c r="AU207" s="1"/>
      <c r="AV207" s="1"/>
      <c r="AW207" s="1"/>
      <c r="AX207" s="38">
        <v>34.18810341783971</v>
      </c>
      <c r="AY207" s="1"/>
      <c r="AZ207" s="1"/>
      <c r="BA207" s="1"/>
      <c r="BB207" s="1"/>
      <c r="BC207" s="1"/>
      <c r="BD207" s="38">
        <v>38.71072005199167</v>
      </c>
      <c r="BJ207" s="57">
        <v>42.255188195376</v>
      </c>
      <c r="BL207" s="16" t="s">
        <v>42</v>
      </c>
    </row>
    <row r="208" spans="1:64" ht="12.75">
      <c r="A208" s="16" t="s">
        <v>43</v>
      </c>
      <c r="B208" s="38">
        <v>35.30669776863551</v>
      </c>
      <c r="C208" s="1"/>
      <c r="D208" s="1"/>
      <c r="E208" s="1"/>
      <c r="F208" s="1"/>
      <c r="G208" s="1"/>
      <c r="H208" s="38">
        <v>30.912935938437588</v>
      </c>
      <c r="I208" s="1"/>
      <c r="J208" s="1"/>
      <c r="K208" s="1"/>
      <c r="L208" s="1"/>
      <c r="M208" s="1"/>
      <c r="N208" s="38">
        <v>25.598262509640318</v>
      </c>
      <c r="O208" s="1"/>
      <c r="P208" s="1"/>
      <c r="Q208" s="1"/>
      <c r="R208" s="1"/>
      <c r="S208" s="1"/>
      <c r="T208" s="38">
        <v>28.53064476504034</v>
      </c>
      <c r="U208" s="1"/>
      <c r="V208" s="1"/>
      <c r="W208" s="1"/>
      <c r="X208" s="1"/>
      <c r="Y208" s="1"/>
      <c r="Z208" s="38">
        <v>31.874685566533174</v>
      </c>
      <c r="AA208" s="1"/>
      <c r="AB208" s="1"/>
      <c r="AC208" s="1"/>
      <c r="AD208" s="1"/>
      <c r="AE208" s="1"/>
      <c r="AF208" s="38">
        <v>37.372975894584606</v>
      </c>
      <c r="AG208" s="1"/>
      <c r="AH208" s="1"/>
      <c r="AI208" s="1"/>
      <c r="AJ208" s="1"/>
      <c r="AK208" s="1"/>
      <c r="AL208" s="38">
        <v>37.90083805702709</v>
      </c>
      <c r="AM208" s="1"/>
      <c r="AN208" s="1"/>
      <c r="AO208" s="1"/>
      <c r="AP208" s="1"/>
      <c r="AQ208" s="1"/>
      <c r="AR208" s="38">
        <v>29.076744809285124</v>
      </c>
      <c r="AS208" s="1"/>
      <c r="AT208" s="1"/>
      <c r="AU208" s="1"/>
      <c r="AV208" s="1"/>
      <c r="AW208" s="1"/>
      <c r="AX208" s="38">
        <v>28.91853659032074</v>
      </c>
      <c r="AY208" s="1"/>
      <c r="AZ208" s="1"/>
      <c r="BA208" s="1"/>
      <c r="BB208" s="1"/>
      <c r="BC208" s="1"/>
      <c r="BD208" s="38">
        <v>33.04264423662552</v>
      </c>
      <c r="BJ208" s="57">
        <v>35.30669776863551</v>
      </c>
      <c r="BL208" s="16" t="s">
        <v>43</v>
      </c>
    </row>
    <row r="209" spans="1:64" ht="12.75">
      <c r="A209" s="16" t="s">
        <v>44</v>
      </c>
      <c r="B209" s="38">
        <v>31.659368585354045</v>
      </c>
      <c r="C209" s="1"/>
      <c r="D209" s="1"/>
      <c r="E209" s="1"/>
      <c r="F209" s="1"/>
      <c r="G209" s="1"/>
      <c r="H209" s="38">
        <v>33.69027430881839</v>
      </c>
      <c r="I209" s="1"/>
      <c r="J209" s="1"/>
      <c r="K209" s="1"/>
      <c r="L209" s="1"/>
      <c r="M209" s="1"/>
      <c r="N209" s="38">
        <v>29.49803629774852</v>
      </c>
      <c r="O209" s="1"/>
      <c r="P209" s="1"/>
      <c r="Q209" s="1"/>
      <c r="R209" s="1"/>
      <c r="S209" s="1"/>
      <c r="T209" s="38">
        <v>24.9038725268795</v>
      </c>
      <c r="U209" s="1"/>
      <c r="V209" s="1"/>
      <c r="W209" s="1"/>
      <c r="X209" s="1"/>
      <c r="Y209" s="1"/>
      <c r="Z209" s="38">
        <v>28.52092882740219</v>
      </c>
      <c r="AA209" s="1"/>
      <c r="AB209" s="1"/>
      <c r="AC209" s="1"/>
      <c r="AD209" s="1"/>
      <c r="AE209" s="1"/>
      <c r="AF209" s="38">
        <v>32.40870763660055</v>
      </c>
      <c r="AG209" s="1"/>
      <c r="AH209" s="1"/>
      <c r="AI209" s="1"/>
      <c r="AJ209" s="1"/>
      <c r="AK209" s="1"/>
      <c r="AL209" s="38">
        <v>37.363043328368356</v>
      </c>
      <c r="AM209" s="1"/>
      <c r="AN209" s="1"/>
      <c r="AO209" s="1"/>
      <c r="AP209" s="1"/>
      <c r="AQ209" s="1"/>
      <c r="AR209" s="38">
        <v>27.914837218549437</v>
      </c>
      <c r="AS209" s="1"/>
      <c r="AT209" s="1"/>
      <c r="AU209" s="1"/>
      <c r="AV209" s="1"/>
      <c r="AW209" s="1"/>
      <c r="AX209" s="38">
        <v>26.038529110912805</v>
      </c>
      <c r="AY209" s="1"/>
      <c r="AZ209" s="1"/>
      <c r="BA209" s="1"/>
      <c r="BB209" s="1"/>
      <c r="BC209" s="1"/>
      <c r="BD209" s="38">
        <v>22.583388547579915</v>
      </c>
      <c r="BJ209" s="57">
        <v>31.659368585354045</v>
      </c>
      <c r="BL209" s="16" t="s">
        <v>44</v>
      </c>
    </row>
    <row r="210" spans="1:64" ht="12.75">
      <c r="A210" s="16" t="s">
        <v>45</v>
      </c>
      <c r="B210" s="38">
        <v>22.908697057383346</v>
      </c>
      <c r="C210" s="1"/>
      <c r="D210" s="1"/>
      <c r="E210" s="1"/>
      <c r="F210" s="1"/>
      <c r="G210" s="1"/>
      <c r="H210" s="38">
        <v>26.895525533876</v>
      </c>
      <c r="I210" s="1"/>
      <c r="J210" s="1"/>
      <c r="K210" s="1"/>
      <c r="L210" s="1"/>
      <c r="M210" s="1"/>
      <c r="N210" s="38">
        <v>28.61979686352266</v>
      </c>
      <c r="O210" s="1"/>
      <c r="P210" s="1"/>
      <c r="Q210" s="1"/>
      <c r="R210" s="1"/>
      <c r="S210" s="1"/>
      <c r="T210" s="38">
        <v>25.55628641140214</v>
      </c>
      <c r="U210" s="1"/>
      <c r="V210" s="1"/>
      <c r="W210" s="1"/>
      <c r="X210" s="1"/>
      <c r="Y210" s="1"/>
      <c r="Z210" s="38">
        <v>22.190659414669973</v>
      </c>
      <c r="AA210" s="1"/>
      <c r="AB210" s="1"/>
      <c r="AC210" s="1"/>
      <c r="AD210" s="1"/>
      <c r="AE210" s="1"/>
      <c r="AF210" s="38">
        <v>25.84367895144398</v>
      </c>
      <c r="AG210" s="1"/>
      <c r="AH210" s="1"/>
      <c r="AI210" s="1"/>
      <c r="AJ210" s="1"/>
      <c r="AK210" s="1"/>
      <c r="AL210" s="38">
        <v>28.887092264079243</v>
      </c>
      <c r="AM210" s="1"/>
      <c r="AN210" s="1"/>
      <c r="AO210" s="1"/>
      <c r="AP210" s="1"/>
      <c r="AQ210" s="1"/>
      <c r="AR210" s="38">
        <v>26.092868511344637</v>
      </c>
      <c r="AS210" s="1"/>
      <c r="AT210" s="1"/>
      <c r="AU210" s="1"/>
      <c r="AV210" s="1"/>
      <c r="AW210" s="1"/>
      <c r="AX210" s="38">
        <v>25.314668890634742</v>
      </c>
      <c r="AY210" s="1"/>
      <c r="AZ210" s="1"/>
      <c r="BA210" s="1"/>
      <c r="BB210" s="1"/>
      <c r="BC210" s="1"/>
      <c r="BD210" s="38">
        <v>17.77071491589388</v>
      </c>
      <c r="BJ210" s="57">
        <v>22.90869705738335</v>
      </c>
      <c r="BL210" s="16" t="s">
        <v>45</v>
      </c>
    </row>
    <row r="211" spans="1:64" ht="12.75">
      <c r="A211" s="16" t="s">
        <v>46</v>
      </c>
      <c r="B211" s="38">
        <v>26.493062048644024</v>
      </c>
      <c r="C211" s="1"/>
      <c r="D211" s="1"/>
      <c r="E211" s="1"/>
      <c r="F211" s="1"/>
      <c r="G211" s="1"/>
      <c r="H211" s="38">
        <v>46.31486958666338</v>
      </c>
      <c r="I211" s="1"/>
      <c r="J211" s="1"/>
      <c r="K211" s="1"/>
      <c r="L211" s="1"/>
      <c r="M211" s="1"/>
      <c r="N211" s="38">
        <v>54.42171168680056</v>
      </c>
      <c r="O211" s="1"/>
      <c r="P211" s="1"/>
      <c r="Q211" s="1"/>
      <c r="R211" s="1"/>
      <c r="S211" s="1"/>
      <c r="T211" s="38">
        <v>59.05586054966531</v>
      </c>
      <c r="U211" s="1"/>
      <c r="V211" s="1"/>
      <c r="W211" s="1"/>
      <c r="X211" s="1"/>
      <c r="Y211" s="1"/>
      <c r="Z211" s="38">
        <v>54.28608659985401</v>
      </c>
      <c r="AA211" s="1"/>
      <c r="AB211" s="1"/>
      <c r="AC211" s="1"/>
      <c r="AD211" s="1"/>
      <c r="AE211" s="1"/>
      <c r="AF211" s="38">
        <v>47.987765129438976</v>
      </c>
      <c r="AG211" s="1"/>
      <c r="AH211" s="1"/>
      <c r="AI211" s="1"/>
      <c r="AJ211" s="1"/>
      <c r="AK211" s="1"/>
      <c r="AL211" s="38">
        <v>54.94873138593126</v>
      </c>
      <c r="AM211" s="1"/>
      <c r="AN211" s="1"/>
      <c r="AO211" s="1"/>
      <c r="AP211" s="1"/>
      <c r="AQ211" s="1"/>
      <c r="AR211" s="38">
        <v>27.606210512553005</v>
      </c>
      <c r="AS211" s="1"/>
      <c r="AT211" s="1"/>
      <c r="AU211" s="1"/>
      <c r="AV211" s="1"/>
      <c r="AW211" s="1"/>
      <c r="AX211" s="38">
        <v>24.464633897277924</v>
      </c>
      <c r="AY211" s="1"/>
      <c r="AZ211" s="1"/>
      <c r="BA211" s="1"/>
      <c r="BB211" s="1"/>
      <c r="BC211" s="1"/>
      <c r="BD211" s="38">
        <v>24.121070826892375</v>
      </c>
      <c r="BJ211" s="57">
        <v>26.493062048644028</v>
      </c>
      <c r="BL211" s="16" t="s">
        <v>46</v>
      </c>
    </row>
    <row r="212" spans="1:64" ht="12.75">
      <c r="A212" s="16" t="s">
        <v>47</v>
      </c>
      <c r="B212" s="38">
        <v>26.313897845597744</v>
      </c>
      <c r="C212" s="1"/>
      <c r="D212" s="1"/>
      <c r="E212" s="1"/>
      <c r="F212" s="1"/>
      <c r="G212" s="1"/>
      <c r="H212" s="38">
        <v>13.552421739752697</v>
      </c>
      <c r="I212" s="1"/>
      <c r="J212" s="1"/>
      <c r="K212" s="1"/>
      <c r="L212" s="1"/>
      <c r="M212" s="1"/>
      <c r="N212" s="38">
        <v>23.588373474883205</v>
      </c>
      <c r="O212" s="1"/>
      <c r="P212" s="1"/>
      <c r="Q212" s="1"/>
      <c r="R212" s="1"/>
      <c r="S212" s="1"/>
      <c r="T212" s="38">
        <v>28.27492844065967</v>
      </c>
      <c r="U212" s="1"/>
      <c r="V212" s="1"/>
      <c r="W212" s="1"/>
      <c r="X212" s="1"/>
      <c r="Y212" s="1"/>
      <c r="Z212" s="38">
        <v>31.586764258950282</v>
      </c>
      <c r="AA212" s="1"/>
      <c r="AB212" s="1"/>
      <c r="AC212" s="1"/>
      <c r="AD212" s="1"/>
      <c r="AE212" s="1"/>
      <c r="AF212" s="38">
        <v>29.579903318081808</v>
      </c>
      <c r="AG212" s="1"/>
      <c r="AH212" s="1"/>
      <c r="AI212" s="1"/>
      <c r="AJ212" s="1"/>
      <c r="AK212" s="1"/>
      <c r="AL212" s="38">
        <v>25.75231886465336</v>
      </c>
      <c r="AM212" s="1"/>
      <c r="AN212" s="1"/>
      <c r="AO212" s="1"/>
      <c r="AP212" s="1"/>
      <c r="AQ212" s="1"/>
      <c r="AR212" s="38">
        <v>22.979076316623107</v>
      </c>
      <c r="AS212" s="1"/>
      <c r="AT212" s="1"/>
      <c r="AU212" s="1"/>
      <c r="AV212" s="1"/>
      <c r="AW212" s="1"/>
      <c r="AX212" s="38">
        <v>22.51045056605348</v>
      </c>
      <c r="AY212" s="1"/>
      <c r="AZ212" s="1"/>
      <c r="BA212" s="1"/>
      <c r="BB212" s="1"/>
      <c r="BC212" s="1"/>
      <c r="BD212" s="38">
        <v>25.134010257352422</v>
      </c>
      <c r="BJ212" s="57">
        <v>26.313897845597747</v>
      </c>
      <c r="BL212" s="16" t="s">
        <v>47</v>
      </c>
    </row>
    <row r="213" spans="1:64" ht="12.75">
      <c r="A213" s="16" t="s">
        <v>48</v>
      </c>
      <c r="B213" s="38">
        <v>19.503496269168945</v>
      </c>
      <c r="C213" s="1"/>
      <c r="D213" s="1"/>
      <c r="E213" s="1"/>
      <c r="F213" s="1"/>
      <c r="G213" s="1"/>
      <c r="H213" s="38">
        <v>25.648636759659457</v>
      </c>
      <c r="I213" s="1"/>
      <c r="J213" s="1"/>
      <c r="K213" s="1"/>
      <c r="L213" s="1"/>
      <c r="M213" s="1"/>
      <c r="N213" s="38">
        <v>13.247969279942087</v>
      </c>
      <c r="O213" s="1"/>
      <c r="P213" s="1"/>
      <c r="Q213" s="1"/>
      <c r="R213" s="1"/>
      <c r="S213" s="1"/>
      <c r="T213" s="38">
        <v>23.450719370477387</v>
      </c>
      <c r="U213" s="1"/>
      <c r="V213" s="1"/>
      <c r="W213" s="1"/>
      <c r="X213" s="1"/>
      <c r="Y213" s="1"/>
      <c r="Z213" s="38">
        <v>28.972857927075367</v>
      </c>
      <c r="AA213" s="1"/>
      <c r="AB213" s="1"/>
      <c r="AC213" s="1"/>
      <c r="AD213" s="1"/>
      <c r="AE213" s="1"/>
      <c r="AF213" s="38">
        <v>32.99349943071198</v>
      </c>
      <c r="AG213" s="1"/>
      <c r="AH213" s="1"/>
      <c r="AI213" s="1"/>
      <c r="AJ213" s="1"/>
      <c r="AK213" s="1"/>
      <c r="AL213" s="38">
        <v>30.46298269607636</v>
      </c>
      <c r="AM213" s="1"/>
      <c r="AN213" s="1"/>
      <c r="AO213" s="1"/>
      <c r="AP213" s="1"/>
      <c r="AQ213" s="1"/>
      <c r="AR213" s="38">
        <v>21.317058986280774</v>
      </c>
      <c r="AS213" s="1"/>
      <c r="AT213" s="1"/>
      <c r="AU213" s="1"/>
      <c r="AV213" s="1"/>
      <c r="AW213" s="1"/>
      <c r="AX213" s="38">
        <v>21.024221536336075</v>
      </c>
      <c r="AY213" s="1"/>
      <c r="AZ213" s="1"/>
      <c r="BA213" s="1"/>
      <c r="BB213" s="1"/>
      <c r="BC213" s="1"/>
      <c r="BD213" s="38">
        <v>22.897889065998253</v>
      </c>
      <c r="BJ213" s="57">
        <v>19.50349626916895</v>
      </c>
      <c r="BL213" s="16" t="s">
        <v>48</v>
      </c>
    </row>
    <row r="214" spans="1:64" ht="12.75">
      <c r="A214" s="16" t="s">
        <v>49</v>
      </c>
      <c r="B214" s="38">
        <v>18.313932435368468</v>
      </c>
      <c r="C214" s="1"/>
      <c r="D214" s="1"/>
      <c r="E214" s="1"/>
      <c r="F214" s="1"/>
      <c r="G214" s="1"/>
      <c r="H214" s="38">
        <v>14.025398147283367</v>
      </c>
      <c r="I214" s="1"/>
      <c r="J214" s="1"/>
      <c r="K214" s="1"/>
      <c r="L214" s="1"/>
      <c r="M214" s="1"/>
      <c r="N214" s="38">
        <v>18.434246140514535</v>
      </c>
      <c r="O214" s="1"/>
      <c r="P214" s="1"/>
      <c r="Q214" s="1"/>
      <c r="R214" s="1"/>
      <c r="S214" s="1"/>
      <c r="T214" s="38">
        <v>9.732055783855559</v>
      </c>
      <c r="U214" s="1"/>
      <c r="V214" s="1"/>
      <c r="W214" s="1"/>
      <c r="X214" s="1"/>
      <c r="Y214" s="1"/>
      <c r="Z214" s="38">
        <v>17.731599042428012</v>
      </c>
      <c r="AA214" s="1"/>
      <c r="AB214" s="1"/>
      <c r="AC214" s="1"/>
      <c r="AD214" s="1"/>
      <c r="AE214" s="1"/>
      <c r="AF214" s="38">
        <v>22.365707530063553</v>
      </c>
      <c r="AG214" s="1"/>
      <c r="AH214" s="1"/>
      <c r="AI214" s="1"/>
      <c r="AJ214" s="1"/>
      <c r="AK214" s="1"/>
      <c r="AL214" s="38">
        <v>25.140439172408577</v>
      </c>
      <c r="AM214" s="1"/>
      <c r="AN214" s="1"/>
      <c r="AO214" s="1"/>
      <c r="AP214" s="1"/>
      <c r="AQ214" s="1"/>
      <c r="AR214" s="38">
        <v>19.608581576752197</v>
      </c>
      <c r="AS214" s="1"/>
      <c r="AT214" s="1"/>
      <c r="AU214" s="1"/>
      <c r="AV214" s="1"/>
      <c r="AW214" s="1"/>
      <c r="AX214" s="38">
        <v>18.94422363315924</v>
      </c>
      <c r="AY214" s="1"/>
      <c r="AZ214" s="1"/>
      <c r="BA214" s="1"/>
      <c r="BB214" s="1"/>
      <c r="BC214" s="1"/>
      <c r="BD214" s="38">
        <v>21.18255838543942</v>
      </c>
      <c r="BJ214" s="57">
        <v>18.31393243536847</v>
      </c>
      <c r="BL214" s="16" t="s">
        <v>49</v>
      </c>
    </row>
    <row r="215" spans="1:64" ht="12.75">
      <c r="A215" s="16" t="s">
        <v>50</v>
      </c>
      <c r="B215" s="38">
        <v>9.589473468024456</v>
      </c>
      <c r="C215" s="1"/>
      <c r="D215" s="1"/>
      <c r="E215" s="1"/>
      <c r="F215" s="1"/>
      <c r="G215" s="1"/>
      <c r="H215" s="38">
        <v>12.04347431331265</v>
      </c>
      <c r="I215" s="1"/>
      <c r="J215" s="1"/>
      <c r="K215" s="1"/>
      <c r="L215" s="1"/>
      <c r="M215" s="1"/>
      <c r="N215" s="38">
        <v>9.247641396326554</v>
      </c>
      <c r="O215" s="1"/>
      <c r="P215" s="1"/>
      <c r="Q215" s="1"/>
      <c r="R215" s="1"/>
      <c r="S215" s="1"/>
      <c r="T215" s="38">
        <v>12.397598982867065</v>
      </c>
      <c r="U215" s="1"/>
      <c r="V215" s="1"/>
      <c r="W215" s="1"/>
      <c r="X215" s="1"/>
      <c r="Y215" s="1"/>
      <c r="Z215" s="38">
        <v>6.774407229782093</v>
      </c>
      <c r="AA215" s="1"/>
      <c r="AB215" s="1"/>
      <c r="AC215" s="1"/>
      <c r="AD215" s="1"/>
      <c r="AE215" s="1"/>
      <c r="AF215" s="38">
        <v>12.600499130242794</v>
      </c>
      <c r="AG215" s="1"/>
      <c r="AH215" s="1"/>
      <c r="AI215" s="1"/>
      <c r="AJ215" s="1"/>
      <c r="AK215" s="1"/>
      <c r="AL215" s="38">
        <v>15.726470697782647</v>
      </c>
      <c r="AM215" s="1"/>
      <c r="AN215" s="1"/>
      <c r="AO215" s="1"/>
      <c r="AP215" s="1"/>
      <c r="AQ215" s="1"/>
      <c r="AR215" s="38">
        <v>16.088876593711547</v>
      </c>
      <c r="AS215" s="1"/>
      <c r="AT215" s="1"/>
      <c r="AU215" s="1"/>
      <c r="AV215" s="1"/>
      <c r="AW215" s="1"/>
      <c r="AX215" s="38">
        <v>15.76460301317804</v>
      </c>
      <c r="AY215" s="1"/>
      <c r="AZ215" s="1"/>
      <c r="BA215" s="1"/>
      <c r="BB215" s="1"/>
      <c r="BC215" s="1"/>
      <c r="BD215" s="38">
        <v>13.634903542495948</v>
      </c>
      <c r="BJ215" s="57">
        <v>9.589473468024458</v>
      </c>
      <c r="BL215" s="16" t="s">
        <v>50</v>
      </c>
    </row>
    <row r="216" spans="1:64" ht="12.75">
      <c r="A216" s="16" t="s">
        <v>65</v>
      </c>
      <c r="B216" s="38">
        <v>5.401138652015017</v>
      </c>
      <c r="C216" s="1"/>
      <c r="D216" s="1"/>
      <c r="E216" s="1"/>
      <c r="F216" s="1"/>
      <c r="G216" s="1"/>
      <c r="H216" s="38">
        <v>7.799688220251874</v>
      </c>
      <c r="I216" s="1"/>
      <c r="J216" s="1"/>
      <c r="K216" s="1"/>
      <c r="L216" s="1"/>
      <c r="M216" s="1"/>
      <c r="N216" s="38">
        <v>9.825537422424475</v>
      </c>
      <c r="O216" s="1"/>
      <c r="P216" s="1"/>
      <c r="Q216" s="1"/>
      <c r="R216" s="1"/>
      <c r="S216" s="1"/>
      <c r="T216" s="38">
        <v>7.712106303120432</v>
      </c>
      <c r="U216" s="1"/>
      <c r="V216" s="1"/>
      <c r="W216" s="1"/>
      <c r="X216" s="1"/>
      <c r="Y216" s="1"/>
      <c r="Z216" s="38">
        <v>10.700566597788804</v>
      </c>
      <c r="AA216" s="1"/>
      <c r="AB216" s="1"/>
      <c r="AC216" s="1"/>
      <c r="AD216" s="1"/>
      <c r="AE216" s="1"/>
      <c r="AF216" s="38">
        <v>6.004411716071762</v>
      </c>
      <c r="AG216" s="1"/>
      <c r="AH216" s="1"/>
      <c r="AI216" s="1"/>
      <c r="AJ216" s="1"/>
      <c r="AK216" s="1"/>
      <c r="AL216" s="38">
        <v>11.052710883347874</v>
      </c>
      <c r="AM216" s="1"/>
      <c r="AN216" s="1"/>
      <c r="AO216" s="1"/>
      <c r="AP216" s="1"/>
      <c r="AQ216" s="1"/>
      <c r="AR216" s="38">
        <v>11.706537014291428</v>
      </c>
      <c r="AS216" s="1"/>
      <c r="AT216" s="1"/>
      <c r="AU216" s="1"/>
      <c r="AV216" s="1"/>
      <c r="AW216" s="1"/>
      <c r="AX216" s="38">
        <v>11.604658372090592</v>
      </c>
      <c r="AY216" s="1"/>
      <c r="AZ216" s="1"/>
      <c r="BA216" s="1"/>
      <c r="BB216" s="1"/>
      <c r="BC216" s="1"/>
      <c r="BD216" s="38">
        <v>10.670095911221072</v>
      </c>
      <c r="BJ216" s="57">
        <v>5.401138652015017</v>
      </c>
      <c r="BL216" s="16" t="s">
        <v>65</v>
      </c>
    </row>
    <row r="217" spans="1:64" ht="12.75">
      <c r="A217" s="16" t="s">
        <v>66</v>
      </c>
      <c r="B217" s="38">
        <v>3.514644984645385</v>
      </c>
      <c r="C217" s="1"/>
      <c r="D217" s="1"/>
      <c r="E217" s="1"/>
      <c r="F217" s="1"/>
      <c r="G217" s="1"/>
      <c r="H217" s="38">
        <v>2.9353247251707506</v>
      </c>
      <c r="I217" s="1"/>
      <c r="J217" s="1"/>
      <c r="K217" s="1"/>
      <c r="L217" s="1"/>
      <c r="M217" s="1"/>
      <c r="N217" s="38">
        <v>3.383282100309812</v>
      </c>
      <c r="O217" s="1"/>
      <c r="P217" s="1"/>
      <c r="Q217" s="1"/>
      <c r="R217" s="1"/>
      <c r="S217" s="1"/>
      <c r="T217" s="38">
        <v>4.222988666770567</v>
      </c>
      <c r="U217" s="1"/>
      <c r="V217" s="1"/>
      <c r="W217" s="1"/>
      <c r="X217" s="1"/>
      <c r="Y217" s="1"/>
      <c r="Z217" s="38">
        <v>4.104321485942405</v>
      </c>
      <c r="AA217" s="1"/>
      <c r="AB217" s="1"/>
      <c r="AC217" s="1"/>
      <c r="AD217" s="1"/>
      <c r="AE217" s="1"/>
      <c r="AF217" s="38">
        <v>5.066613444857369</v>
      </c>
      <c r="AG217" s="1"/>
      <c r="AH217" s="1"/>
      <c r="AI217" s="1"/>
      <c r="AJ217" s="1"/>
      <c r="AK217" s="1"/>
      <c r="AL217" s="38">
        <v>4.022397749195852</v>
      </c>
      <c r="AM217" s="1"/>
      <c r="AN217" s="1"/>
      <c r="AO217" s="1"/>
      <c r="AP217" s="1"/>
      <c r="AQ217" s="1"/>
      <c r="AR217" s="38">
        <v>16.441686355850923</v>
      </c>
      <c r="AS217" s="1"/>
      <c r="AT217" s="1"/>
      <c r="AU217" s="1"/>
      <c r="AV217" s="1"/>
      <c r="AW217" s="1"/>
      <c r="AX217" s="38">
        <v>18.047992621605424</v>
      </c>
      <c r="AY217" s="1"/>
      <c r="AZ217" s="1"/>
      <c r="BA217" s="1"/>
      <c r="BB217" s="1"/>
      <c r="BC217" s="1"/>
      <c r="BD217" s="38">
        <v>21.19505902490691</v>
      </c>
      <c r="BJ217" s="57">
        <v>3.514644984645385</v>
      </c>
      <c r="BL217" s="16" t="s">
        <v>66</v>
      </c>
    </row>
    <row r="221" spans="1:56" ht="12.75">
      <c r="A221" t="s">
        <v>55</v>
      </c>
      <c r="B221">
        <v>0.516</v>
      </c>
      <c r="H221">
        <v>0.516</v>
      </c>
      <c r="N221">
        <v>0.516</v>
      </c>
      <c r="T221">
        <v>0.516</v>
      </c>
      <c r="Z221">
        <v>0.516</v>
      </c>
      <c r="AF221">
        <v>0.516</v>
      </c>
      <c r="AL221">
        <v>0.516</v>
      </c>
      <c r="AR221">
        <v>0.516</v>
      </c>
      <c r="AX221">
        <v>0.516</v>
      </c>
      <c r="BD221">
        <v>0.516</v>
      </c>
    </row>
    <row r="223" spans="1:62" ht="12.75">
      <c r="A223" t="s">
        <v>58</v>
      </c>
      <c r="B223" s="4">
        <f>Сценарий!C7</f>
        <v>226.87772318033475</v>
      </c>
      <c r="H223" s="4">
        <f>Сценарий!D7</f>
        <v>156.3804809001168</v>
      </c>
      <c r="N223" s="4">
        <f>Сценарий!E7</f>
        <v>135.77163504253707</v>
      </c>
      <c r="T223" s="4">
        <f>Сценарий!F7</f>
        <v>127.79042135028445</v>
      </c>
      <c r="Z223" s="4">
        <f>Сценарий!G7</f>
        <v>123.1257308066512</v>
      </c>
      <c r="AF223" s="4">
        <f>Сценарий!H7</f>
        <v>119.52286065338265</v>
      </c>
      <c r="AL223" s="4">
        <f>Сценарий!I7</f>
        <v>116.41915394355333</v>
      </c>
      <c r="AR223" s="4">
        <f>Сценарий!J7</f>
        <v>1113.54928649837</v>
      </c>
      <c r="AX223" s="4">
        <f>Сценарий!K7</f>
        <v>1110.7717777415</v>
      </c>
      <c r="BD223" s="4">
        <f>Сценарий!L7</f>
        <v>108.10926486908083</v>
      </c>
      <c r="BJ223" s="2"/>
    </row>
    <row r="224" spans="1:62" ht="12.75">
      <c r="A224" s="14" t="s">
        <v>59</v>
      </c>
      <c r="B224" s="4">
        <f>Сценарий!C8</f>
        <v>0.817285878454529</v>
      </c>
      <c r="H224" s="4">
        <f>Сценарий!D8</f>
        <v>0.5277491776515127</v>
      </c>
      <c r="N224" s="4">
        <f>Сценарий!E8</f>
        <v>0.4073970306250212</v>
      </c>
      <c r="T224" s="4">
        <f>Сценарий!F8</f>
        <v>0.364407056441432</v>
      </c>
      <c r="Z224" s="4">
        <f>Сценарий!G8</f>
        <v>0.3566519018881572</v>
      </c>
      <c r="AF224" s="4">
        <f>Сценарий!H8</f>
        <v>0.3566283464447222</v>
      </c>
      <c r="AL224" s="4">
        <f>Сценарий!I8</f>
        <v>0.3566283464447222</v>
      </c>
      <c r="AR224" s="4">
        <f>Сценарий!J8</f>
        <v>0.3566283464447222</v>
      </c>
      <c r="AX224" s="4">
        <f>Сценарий!K8</f>
        <v>0.3566283464447222</v>
      </c>
      <c r="BD224" s="4">
        <f>Сценарий!L8</f>
        <v>0.3566283464447222</v>
      </c>
      <c r="BJ224" s="2"/>
    </row>
    <row r="225" ht="12.75">
      <c r="BJ225" s="2"/>
    </row>
    <row r="226" ht="12.75">
      <c r="B226" s="39"/>
    </row>
    <row r="227" spans="1:62" ht="12.75">
      <c r="A227" s="14" t="s">
        <v>59</v>
      </c>
      <c r="B227" s="4">
        <f>SUM(C5:C22,C26:C43,F5:F22,F26:F43)/SUM(B5:B22,B26:B43,H5:H22,H26:H43)/2.5*1000</f>
        <v>0.8174101192282562</v>
      </c>
      <c r="H227" s="4">
        <f>SUM(I5:I22,I26:I43,L5:L22,L26:L43)/SUM(H5:H22,H26:H43,N5:N22,N26:N43)/2.5*1000</f>
        <v>0.5280656383412222</v>
      </c>
      <c r="N227" s="4">
        <f>SUM(O5:O22,O26:O43,R5:R22,R26:R43)/SUM(N5:N22,N26:N43,T5:T22,T26:T43)/2.5*1000</f>
        <v>0.40769806282985954</v>
      </c>
      <c r="T227" s="4">
        <f>SUM(U5:U22,U26:U43,X5:X22,X26:X43)/SUM(T5:T22,T26:T43,Z5:Z22,Z26:Z43)/2.5*1000</f>
        <v>0.36465860646055936</v>
      </c>
      <c r="Z227" s="4">
        <f>SUM(AA5:AA22,AA26:AA43,AD5:AD22,AD26:AD43)/SUM(Z5:Z22,Z26:Z43,AF5:AF22,AF26:AF43)/2.5*1000</f>
        <v>0.3568619598656968</v>
      </c>
      <c r="AF227" s="4">
        <f>SUM(AG5:AG22,AG26:AG43,AJ5:AJ22,AJ26:AJ43)/SUM(AF5:AF22,AF26:AF43,AL5:AL22,AL26:AL43)/2.5*1000</f>
        <v>0.3568342248715482</v>
      </c>
      <c r="AL227" s="4">
        <f>SUM(AM5:AM22,AM26:AM43,AP5:AP22,AP26:AP43)/SUM(AL5:AL22,AL26:AL43,AR5:AR22,AR26:AR43)/2.5*1000</f>
        <v>0.3568519549629266</v>
      </c>
      <c r="AR227" s="4">
        <f>SUM(AS5:AS22,AS26:AS43,AV5:AV22,AV26:AV43)/SUM(AR5:AR22,AR26:AR43,AX5:AX22,AX26:AX43)/2.5*1000</f>
        <v>0.35693098850162563</v>
      </c>
      <c r="AX227" s="4">
        <f>SUM(AY5:AY22,AY26:AY43,BB5:BB22,BB26:BB43)/SUM(AX5:AX22,AX26:AX43,BD5:BD22,BD26:BD43)/2.5*1000</f>
        <v>0.35662834318483505</v>
      </c>
      <c r="BD227" s="4">
        <f>SUM(BE5:BE22,BE26:BE43,BH5:BH22,BH26:BH43)/SUM(BD5:BD22,BD26:BD43,BJ5:BJ22,BJ26:BJ43)/2.5*1000</f>
        <v>0.35705333626729546</v>
      </c>
      <c r="BJ227" s="4"/>
    </row>
    <row r="228" ht="12.75">
      <c r="BJ228" s="2"/>
    </row>
    <row r="230" spans="1:56" ht="12.75">
      <c r="A230" s="28" t="s">
        <v>60</v>
      </c>
      <c r="B230" s="4">
        <f>Сценарий!C2</f>
        <v>1.3086569482793404</v>
      </c>
      <c r="F230" s="2"/>
      <c r="H230" s="4">
        <f>Сценарий!D2</f>
        <v>1.3826061300154722</v>
      </c>
      <c r="M230" s="2"/>
      <c r="N230" s="4">
        <f>Сценарий!E2</f>
        <v>1.396</v>
      </c>
      <c r="O230" s="2"/>
      <c r="T230" s="4">
        <f>Сценарий!F2</f>
        <v>1.396</v>
      </c>
      <c r="Z230" s="4">
        <f>Сценарий!G2</f>
        <v>1.396</v>
      </c>
      <c r="AB230" s="2"/>
      <c r="AF230" s="4">
        <f>Сценарий!H2</f>
        <v>1.396</v>
      </c>
      <c r="AI230" s="2"/>
      <c r="AL230" s="4">
        <f>Сценарий!I2</f>
        <v>1.396</v>
      </c>
      <c r="AP230" s="2"/>
      <c r="AR230" s="4">
        <f>Сценарий!J2</f>
        <v>1.396</v>
      </c>
      <c r="AW230" s="2"/>
      <c r="AX230" s="4">
        <f>Сценарий!K2</f>
        <v>1.396</v>
      </c>
      <c r="AY230" s="2"/>
      <c r="BD230" s="4">
        <f>Сценарий!L2</f>
        <v>1.396</v>
      </c>
    </row>
    <row r="231" spans="1:56" ht="12.75">
      <c r="A231" s="28" t="s">
        <v>61</v>
      </c>
      <c r="B231" s="4">
        <f>Сценарий!C3</f>
        <v>26.030822248761684</v>
      </c>
      <c r="H231" s="4">
        <f>Сценарий!D3</f>
        <v>26.50853452302104</v>
      </c>
      <c r="N231" s="4">
        <f>Сценарий!E3</f>
        <v>26.912646418922293</v>
      </c>
      <c r="T231" s="4">
        <f>Сценарий!F3</f>
        <v>27.05722678122877</v>
      </c>
      <c r="Z231" s="4">
        <f>Сценарий!G3</f>
        <v>27.05722678122877</v>
      </c>
      <c r="AF231" s="4">
        <f>Сценарий!H3</f>
        <v>27.05722678122877</v>
      </c>
      <c r="AL231" s="4">
        <f>Сценарий!I3</f>
        <v>27.05722678122877</v>
      </c>
      <c r="AR231" s="4">
        <f>Сценарий!J3</f>
        <v>27.05722678122877</v>
      </c>
      <c r="AX231" s="4">
        <f>Сценарий!K3</f>
        <v>27.05722678122877</v>
      </c>
      <c r="BD231" s="4">
        <f>Сценарий!L3</f>
        <v>27.05722678122877</v>
      </c>
    </row>
    <row r="232" spans="1:56" ht="12.75">
      <c r="A232" s="28" t="s">
        <v>62</v>
      </c>
      <c r="B232" s="4">
        <f>Сценарий!C4</f>
        <v>60.30051634702329</v>
      </c>
      <c r="H232" s="4">
        <f>Сценарий!D4</f>
        <v>61.25194245715046</v>
      </c>
      <c r="N232" s="4">
        <f>Сценарий!E4</f>
        <v>61.61295581315444</v>
      </c>
      <c r="T232" s="4">
        <f>Сценарий!F4</f>
        <v>62.24918786363553</v>
      </c>
      <c r="Z232" s="4">
        <f>Сценарий!G4</f>
        <v>62.88541991411662</v>
      </c>
      <c r="AF232" s="4">
        <f>Сценарий!H4</f>
        <v>63.52165196459772</v>
      </c>
      <c r="AL232" s="4">
        <f>Сценарий!I4</f>
        <v>64.15788401507882</v>
      </c>
      <c r="AR232" s="4">
        <f>Сценарий!J4</f>
        <v>64.79411606555992</v>
      </c>
      <c r="AX232" s="4">
        <f>Сценарий!K4</f>
        <v>65.43034811604102</v>
      </c>
      <c r="BD232" s="4">
        <f>Сценарий!L4</f>
        <v>66.06658016652212</v>
      </c>
    </row>
    <row r="233" spans="1:56" ht="12.75">
      <c r="A233" s="28" t="s">
        <v>63</v>
      </c>
      <c r="B233" s="4">
        <f>Сценарий!C5</f>
        <v>73.14096433405008</v>
      </c>
      <c r="H233" s="4">
        <f>Сценарий!D5</f>
        <v>73.43613537640404</v>
      </c>
      <c r="N233" s="4">
        <f>Сценарий!E5</f>
        <v>73.6778874900822</v>
      </c>
      <c r="T233" s="4">
        <f>Сценарий!F5</f>
        <v>74.22266939690743</v>
      </c>
      <c r="Z233" s="4">
        <f>Сценарий!G5</f>
        <v>74.76745130373267</v>
      </c>
      <c r="AF233" s="4">
        <f>Сценарий!H5</f>
        <v>75.3122332105579</v>
      </c>
      <c r="AL233" s="4">
        <f>Сценарий!I5</f>
        <v>75.85701511738314</v>
      </c>
      <c r="AR233" s="4">
        <f>Сценарий!J5</f>
        <v>76.40179702420838</v>
      </c>
      <c r="AX233" s="4">
        <f>Сценарий!K5</f>
        <v>76.94657893103361</v>
      </c>
      <c r="BD233" s="4">
        <f>Сценарий!L5</f>
        <v>77.49136083785883</v>
      </c>
    </row>
    <row r="234" spans="1:56" ht="12.75">
      <c r="A234" s="28" t="s">
        <v>136</v>
      </c>
      <c r="B234" s="4">
        <f>Сценарий!C6</f>
        <v>14.671350554773195</v>
      </c>
      <c r="H234" s="4">
        <f>Сценарий!D6</f>
        <v>12.85269514707451</v>
      </c>
      <c r="N234" s="4">
        <f>Сценарий!E6</f>
        <v>11.0279836334573</v>
      </c>
      <c r="T234" s="4">
        <f>Сценарий!F6</f>
        <v>9.197109990860156</v>
      </c>
      <c r="Z234" s="4">
        <f>Сценарий!G6</f>
        <v>7.524116829744161</v>
      </c>
      <c r="AF234" s="4">
        <f>Сценарий!H6</f>
        <v>6.253342586109265</v>
      </c>
      <c r="AL234" s="4">
        <f>Сценарий!I6</f>
        <v>5.333291803527116</v>
      </c>
      <c r="AR234" s="4">
        <f>Сценарий!J6</f>
        <v>4.692532508278634</v>
      </c>
      <c r="AX234" s="4">
        <f>Сценарий!K6</f>
        <v>4.227954808387874</v>
      </c>
      <c r="BD234" s="4">
        <f>Сценарий!L6</f>
        <v>3.8784918822458976</v>
      </c>
    </row>
    <row r="237" spans="1:62" ht="12.75">
      <c r="A237" s="28"/>
      <c r="F237" s="2"/>
      <c r="H237" s="4" t="s">
        <v>72</v>
      </c>
      <c r="N237" t="s">
        <v>73</v>
      </c>
      <c r="T237" t="s">
        <v>74</v>
      </c>
      <c r="Z237" t="s">
        <v>75</v>
      </c>
      <c r="AF237" t="s">
        <v>76</v>
      </c>
      <c r="AL237" s="2" t="s">
        <v>77</v>
      </c>
      <c r="AR237" s="4" t="s">
        <v>78</v>
      </c>
      <c r="AW237" s="2"/>
      <c r="AX237" s="2" t="s">
        <v>79</v>
      </c>
      <c r="BD237" t="s">
        <v>80</v>
      </c>
      <c r="BJ237" t="s">
        <v>81</v>
      </c>
    </row>
    <row r="238" spans="1:62" ht="12.75">
      <c r="A238" s="60" t="s">
        <v>137</v>
      </c>
      <c r="B238" s="4"/>
      <c r="H238" s="3">
        <f>E124/1000</f>
        <v>7052.878435121984</v>
      </c>
      <c r="N238" s="3">
        <f>K124/1000</f>
        <v>7576.735780826899</v>
      </c>
      <c r="T238" s="3">
        <f>Q124/1000</f>
        <v>7182.51742401274</v>
      </c>
      <c r="Z238" s="3">
        <f>W124/1000</f>
        <v>6162.367430350548</v>
      </c>
      <c r="AF238" s="3">
        <f>AC124/1000</f>
        <v>5279.690542842252</v>
      </c>
      <c r="AL238" s="3">
        <f>AI124/1000</f>
        <v>4909.659349335771</v>
      </c>
      <c r="AR238" s="3">
        <f>AO124/1000</f>
        <v>4832.729642735244</v>
      </c>
      <c r="AX238" s="3">
        <f>AU124/1000</f>
        <v>4826.21734616003</v>
      </c>
      <c r="BD238" s="3">
        <f>BA124/1000</f>
        <v>4745.358414353544</v>
      </c>
      <c r="BJ238" s="3">
        <f>BG124/1000</f>
        <v>4427.698056893522</v>
      </c>
    </row>
    <row r="239" spans="1:62" ht="12.75">
      <c r="A239" s="60" t="s">
        <v>138</v>
      </c>
      <c r="B239" s="4"/>
      <c r="H239" s="3">
        <f>-(H2-B2-H238-H240+H241)</f>
        <v>10765.949692318332</v>
      </c>
      <c r="N239" s="3">
        <f>-(N2-H2-N238-N240+N241)</f>
        <v>10927.52038972325</v>
      </c>
      <c r="T239" s="3">
        <f>-(T2-N2-T238-T240+T241)</f>
        <v>11116.962507521524</v>
      </c>
      <c r="Z239" s="3">
        <f>-(Z2-T2-Z238-Z240+Z241)</f>
        <v>10828.681016401666</v>
      </c>
      <c r="AF239" s="3">
        <f>-(AF2-Z2-AF238-AF240+AF241)</f>
        <v>10745.963480482436</v>
      </c>
      <c r="AL239" s="3">
        <f>-(AL2-AF2-AL238-AL240+AL241)</f>
        <v>10473.633823030601</v>
      </c>
      <c r="AR239" s="3">
        <f>-(AR2-AL2-AR238-AR240+AR241)</f>
        <v>10658.201028019432</v>
      </c>
      <c r="AX239" s="3">
        <f>-(AX2-AR2-AX238-AX240+AX241)</f>
        <v>10812.28807376422</v>
      </c>
      <c r="BD239" s="3">
        <f>-(BD2-AX2-BD238-BD240+BD241)</f>
        <v>10870.150359966294</v>
      </c>
      <c r="BJ239" s="3">
        <f>-(BJ2-BD2-BJ238-BJ240+BJ241)</f>
        <v>10484.539243694755</v>
      </c>
    </row>
    <row r="240" spans="1:62" ht="12.75">
      <c r="A240" s="60" t="s">
        <v>139</v>
      </c>
      <c r="B240" s="4"/>
      <c r="H240" s="3">
        <f>B223*5</f>
        <v>1134.3886159016738</v>
      </c>
      <c r="N240" s="3">
        <f>H223*5</f>
        <v>781.902404500584</v>
      </c>
      <c r="T240" s="3">
        <f>N223*5</f>
        <v>678.8581752126854</v>
      </c>
      <c r="Z240" s="3">
        <f>T223*5</f>
        <v>638.9521067514222</v>
      </c>
      <c r="AF240" s="3">
        <f>Z223*5</f>
        <v>615.628654033256</v>
      </c>
      <c r="AL240" s="3">
        <f>AF223*5</f>
        <v>597.6143032669132</v>
      </c>
      <c r="AR240" s="3">
        <f>AL223*5</f>
        <v>582.0957697177666</v>
      </c>
      <c r="AX240" s="3">
        <f>AR223*5</f>
        <v>5567.74643249185</v>
      </c>
      <c r="BD240" s="3">
        <f>AX223*5</f>
        <v>5553.8588887075</v>
      </c>
      <c r="BJ240" s="3">
        <f>BD223*5</f>
        <v>540.5463243454042</v>
      </c>
    </row>
    <row r="241" spans="1:62" ht="12.75">
      <c r="A241" s="60" t="s">
        <v>140</v>
      </c>
      <c r="B241" s="4"/>
      <c r="H241" s="3">
        <f>SUM(C5:C22,C26:C43,F5:F22,F26:F43)/1000</f>
        <v>585.417067100869</v>
      </c>
      <c r="N241" s="3">
        <f>SUM(I5:I22,I26:I43,L5:L22,L26:L43)/1000</f>
        <v>370.13570220836436</v>
      </c>
      <c r="T241" s="3">
        <f>SUM(O5:O22,O26:O43,R5:R22,R26:R43)/1000</f>
        <v>279.16840223933036</v>
      </c>
      <c r="Z241" s="3">
        <f>SUM(U5:U22,U26:U43,X5:X22,X26:X43)/1000</f>
        <v>242.58230822166473</v>
      </c>
      <c r="AF241" s="3">
        <f>SUM(AA5:AA22,AA26:AA43,AD5:AD22,AD26:AD43)/1000</f>
        <v>229.0544057527205</v>
      </c>
      <c r="AL241" s="3">
        <f>SUM(AG5:AG22,AG26:AG43,AJ5:AJ22,AJ26:AJ43)/1000</f>
        <v>219.87850933878283</v>
      </c>
      <c r="AR241" s="3">
        <f>SUM(AM5:AM22,AM26:AM43,AP5:AP22,AP26:AP43)/1000</f>
        <v>210.3971622612697</v>
      </c>
      <c r="AX241" s="3">
        <f>SUM(AS5:AS22,AS26:AS43,AV5:AV22,AV26:AV43)/1000</f>
        <v>205.02098044146075</v>
      </c>
      <c r="BD241" s="3">
        <f>SUM(AY5:AY22,AY26:AY43,BB5:BB22,BB26:BB43)/1000</f>
        <v>203.60083279687765</v>
      </c>
      <c r="BJ241" s="3">
        <f>SUM(BE5:BE22,BE26:BE43,BH5:BH22,BH26:BH43)/1000</f>
        <v>198.05127273363573</v>
      </c>
    </row>
    <row r="242" spans="1:56" ht="12.75">
      <c r="A242" s="28"/>
      <c r="B242" s="4"/>
      <c r="H242" s="4"/>
      <c r="N242" s="4"/>
      <c r="T242" s="4"/>
      <c r="Z242" s="4"/>
      <c r="AF242" s="4"/>
      <c r="AL242" s="4"/>
      <c r="AR242" s="4"/>
      <c r="AX242" s="4"/>
      <c r="BD242" s="4"/>
    </row>
    <row r="243" spans="1:56" ht="12.75">
      <c r="A243" s="28"/>
      <c r="B243" s="4"/>
      <c r="H243" s="4"/>
      <c r="N243" s="4"/>
      <c r="T243" s="4"/>
      <c r="Z243" s="4"/>
      <c r="AF243" s="4"/>
      <c r="AL243" s="4"/>
      <c r="AR243" s="4"/>
      <c r="AX243" s="4"/>
      <c r="BD243" s="4"/>
    </row>
    <row r="244" spans="1:2" ht="12.75">
      <c r="A244" s="9" t="s">
        <v>98</v>
      </c>
      <c r="B244" s="3">
        <f>SUM(B245:B262)</f>
        <v>108079.34683954409</v>
      </c>
    </row>
    <row r="245" spans="1:2" ht="12.75">
      <c r="A245" s="13" t="s">
        <v>21</v>
      </c>
      <c r="B245" s="3">
        <f aca="true" t="shared" si="94" ref="B245:B262">B266+B287</f>
        <v>4418.664130741396</v>
      </c>
    </row>
    <row r="246" spans="1:2" ht="12.75">
      <c r="A246" s="16" t="s">
        <v>33</v>
      </c>
      <c r="B246" s="3">
        <f t="shared" si="94"/>
        <v>4892.558515638674</v>
      </c>
    </row>
    <row r="247" spans="1:2" ht="12.75">
      <c r="A247" s="16" t="s">
        <v>37</v>
      </c>
      <c r="B247" s="3">
        <f t="shared" si="94"/>
        <v>5300.366747295422</v>
      </c>
    </row>
    <row r="248" spans="1:2" ht="12.75">
      <c r="A248" s="16" t="s">
        <v>38</v>
      </c>
      <c r="B248" s="3">
        <f t="shared" si="94"/>
        <v>5494.231385681747</v>
      </c>
    </row>
    <row r="249" spans="1:2" ht="12.75">
      <c r="A249" s="16" t="s">
        <v>39</v>
      </c>
      <c r="B249" s="3">
        <f t="shared" si="94"/>
        <v>5564.470254219355</v>
      </c>
    </row>
    <row r="250" spans="1:2" ht="12.75">
      <c r="A250" s="16" t="s">
        <v>40</v>
      </c>
      <c r="B250" s="3">
        <f t="shared" si="94"/>
        <v>5960.033603802134</v>
      </c>
    </row>
    <row r="251" spans="1:2" ht="12.75">
      <c r="A251" s="16" t="s">
        <v>41</v>
      </c>
      <c r="B251" s="3">
        <f t="shared" si="94"/>
        <v>6907.315434361588</v>
      </c>
    </row>
    <row r="252" spans="1:2" ht="12.75">
      <c r="A252" s="16" t="s">
        <v>42</v>
      </c>
      <c r="B252" s="3">
        <f t="shared" si="94"/>
        <v>7841.418214845928</v>
      </c>
    </row>
    <row r="253" spans="1:2" ht="12.75">
      <c r="A253" s="16" t="s">
        <v>43</v>
      </c>
      <c r="B253" s="3">
        <f t="shared" si="94"/>
        <v>7957.920422668427</v>
      </c>
    </row>
    <row r="254" spans="1:2" ht="12.75">
      <c r="A254" s="16" t="s">
        <v>44</v>
      </c>
      <c r="B254" s="3">
        <f t="shared" si="94"/>
        <v>7121.389770414795</v>
      </c>
    </row>
    <row r="255" spans="1:2" ht="12.75">
      <c r="A255" s="16" t="s">
        <v>45</v>
      </c>
      <c r="B255" s="3">
        <f t="shared" si="94"/>
        <v>6196.786225086336</v>
      </c>
    </row>
    <row r="256" spans="1:2" ht="12.75">
      <c r="A256" s="16" t="s">
        <v>46</v>
      </c>
      <c r="B256" s="3">
        <f t="shared" si="94"/>
        <v>6903.83171090941</v>
      </c>
    </row>
    <row r="257" spans="1:2" ht="12.75">
      <c r="A257" s="16" t="s">
        <v>47</v>
      </c>
      <c r="B257" s="3">
        <f t="shared" si="94"/>
        <v>9122.06824989694</v>
      </c>
    </row>
    <row r="258" spans="1:2" ht="12.75">
      <c r="A258" s="16" t="s">
        <v>48</v>
      </c>
      <c r="B258" s="3">
        <f t="shared" si="94"/>
        <v>8267.41877145279</v>
      </c>
    </row>
    <row r="259" spans="1:2" ht="12.75">
      <c r="A259" s="16" t="s">
        <v>49</v>
      </c>
      <c r="B259" s="3">
        <f t="shared" si="94"/>
        <v>6305.655549219415</v>
      </c>
    </row>
    <row r="260" spans="1:2" ht="12.75">
      <c r="A260" s="16" t="s">
        <v>50</v>
      </c>
      <c r="B260" s="3">
        <f t="shared" si="94"/>
        <v>4596.250161143139</v>
      </c>
    </row>
    <row r="261" spans="1:2" ht="12.75">
      <c r="A261" s="16" t="s">
        <v>65</v>
      </c>
      <c r="B261" s="3">
        <f t="shared" si="94"/>
        <v>2820.980718828762</v>
      </c>
    </row>
    <row r="262" spans="1:2" ht="12.75">
      <c r="A262" s="16" t="s">
        <v>66</v>
      </c>
      <c r="B262" s="3">
        <f t="shared" si="94"/>
        <v>2407.9869733378127</v>
      </c>
    </row>
    <row r="264" ht="12.75">
      <c r="A264" s="9" t="s">
        <v>57</v>
      </c>
    </row>
    <row r="265" spans="1:2" ht="12.75">
      <c r="A265" s="9" t="s">
        <v>98</v>
      </c>
      <c r="B265" s="3">
        <f>SUM(B266:B283)</f>
        <v>49326.118871637664</v>
      </c>
    </row>
    <row r="266" spans="1:2" ht="12.75">
      <c r="A266" s="13" t="s">
        <v>21</v>
      </c>
      <c r="B266" s="3">
        <f aca="true" t="shared" si="95" ref="B266:B283">BP5</f>
        <v>2278.823554794147</v>
      </c>
    </row>
    <row r="267" spans="1:2" ht="12.75">
      <c r="A267" s="16" t="s">
        <v>33</v>
      </c>
      <c r="B267" s="3">
        <f t="shared" si="95"/>
        <v>2522.0529253822133</v>
      </c>
    </row>
    <row r="268" spans="1:2" ht="12.75">
      <c r="A268" s="16" t="s">
        <v>37</v>
      </c>
      <c r="B268" s="3">
        <f t="shared" si="95"/>
        <v>2729.8204523612976</v>
      </c>
    </row>
    <row r="269" spans="1:2" ht="12.75">
      <c r="A269" s="16" t="s">
        <v>38</v>
      </c>
      <c r="B269" s="3">
        <f t="shared" si="95"/>
        <v>2825.7674170811515</v>
      </c>
    </row>
    <row r="270" spans="1:2" ht="12.75">
      <c r="A270" s="16" t="s">
        <v>39</v>
      </c>
      <c r="B270" s="3">
        <f t="shared" si="95"/>
        <v>2851.8675043999315</v>
      </c>
    </row>
    <row r="271" spans="1:2" ht="12.75">
      <c r="A271" s="16" t="s">
        <v>40</v>
      </c>
      <c r="B271" s="3">
        <f t="shared" si="95"/>
        <v>3038.0839873407053</v>
      </c>
    </row>
    <row r="272" spans="1:2" ht="12.75">
      <c r="A272" s="16" t="s">
        <v>41</v>
      </c>
      <c r="B272" s="3">
        <f t="shared" si="95"/>
        <v>3500.301023909004</v>
      </c>
    </row>
    <row r="273" spans="1:2" ht="12.75">
      <c r="A273" s="16" t="s">
        <v>42</v>
      </c>
      <c r="B273" s="3">
        <f t="shared" si="95"/>
        <v>3942.942823376071</v>
      </c>
    </row>
    <row r="274" spans="1:2" ht="12.75">
      <c r="A274" s="16" t="s">
        <v>43</v>
      </c>
      <c r="B274" s="3">
        <f t="shared" si="95"/>
        <v>3952.8875296669466</v>
      </c>
    </row>
    <row r="275" spans="1:2" ht="12.75">
      <c r="A275" s="16" t="s">
        <v>44</v>
      </c>
      <c r="B275" s="3">
        <f t="shared" si="95"/>
        <v>3471.0121915626473</v>
      </c>
    </row>
    <row r="276" spans="1:2" ht="12.75">
      <c r="A276" s="16" t="s">
        <v>45</v>
      </c>
      <c r="B276" s="3">
        <f t="shared" si="95"/>
        <v>2929.158358801635</v>
      </c>
    </row>
    <row r="277" spans="1:2" ht="12.75">
      <c r="A277" s="16" t="s">
        <v>46</v>
      </c>
      <c r="B277" s="3">
        <f t="shared" si="95"/>
        <v>3125.319655766849</v>
      </c>
    </row>
    <row r="278" spans="1:2" ht="12.75">
      <c r="A278" s="16" t="s">
        <v>47</v>
      </c>
      <c r="B278" s="3">
        <f t="shared" si="95"/>
        <v>3871.8614574747558</v>
      </c>
    </row>
    <row r="279" spans="1:2" ht="12.75">
      <c r="A279" s="16" t="s">
        <v>48</v>
      </c>
      <c r="B279" s="3">
        <f t="shared" si="95"/>
        <v>3220.8569562256</v>
      </c>
    </row>
    <row r="280" spans="1:2" ht="12.75">
      <c r="A280" s="16" t="s">
        <v>49</v>
      </c>
      <c r="B280" s="3">
        <f t="shared" si="95"/>
        <v>2216.1875329572117</v>
      </c>
    </row>
    <row r="281" spans="1:2" ht="12.75">
      <c r="A281" s="16" t="s">
        <v>50</v>
      </c>
      <c r="B281" s="3">
        <f t="shared" si="95"/>
        <v>1460.766942996295</v>
      </c>
    </row>
    <row r="282" spans="1:2" ht="12.75">
      <c r="A282" s="16" t="s">
        <v>65</v>
      </c>
      <c r="B282" s="3">
        <f t="shared" si="95"/>
        <v>797.9880044398268</v>
      </c>
    </row>
    <row r="283" spans="1:2" ht="12.75">
      <c r="A283" s="16" t="s">
        <v>66</v>
      </c>
      <c r="B283" s="3">
        <f t="shared" si="95"/>
        <v>590.4205531013797</v>
      </c>
    </row>
    <row r="285" ht="12.75">
      <c r="A285" t="s">
        <v>67</v>
      </c>
    </row>
    <row r="286" spans="1:2" ht="12.75">
      <c r="A286" s="9" t="s">
        <v>98</v>
      </c>
      <c r="B286" s="3">
        <f>SUM(B287:B304)</f>
        <v>58753.2279679064</v>
      </c>
    </row>
    <row r="287" spans="1:2" ht="12.75">
      <c r="A287" s="13" t="s">
        <v>21</v>
      </c>
      <c r="B287" s="3">
        <f aca="true" t="shared" si="96" ref="B287:B304">BS5</f>
        <v>2139.840575947248</v>
      </c>
    </row>
    <row r="288" spans="1:2" ht="12.75">
      <c r="A288" s="16" t="s">
        <v>33</v>
      </c>
      <c r="B288" s="3">
        <f t="shared" si="96"/>
        <v>2370.505590256461</v>
      </c>
    </row>
    <row r="289" spans="1:2" ht="12.75">
      <c r="A289" s="16" t="s">
        <v>37</v>
      </c>
      <c r="B289" s="3">
        <f t="shared" si="96"/>
        <v>2570.546294934124</v>
      </c>
    </row>
    <row r="290" spans="1:2" ht="12.75">
      <c r="A290" s="16" t="s">
        <v>38</v>
      </c>
      <c r="B290" s="3">
        <f t="shared" si="96"/>
        <v>2668.463968600596</v>
      </c>
    </row>
    <row r="291" spans="1:2" ht="12.75">
      <c r="A291" s="16" t="s">
        <v>39</v>
      </c>
      <c r="B291" s="3">
        <f t="shared" si="96"/>
        <v>2712.6027498194244</v>
      </c>
    </row>
    <row r="292" spans="1:2" ht="12.75">
      <c r="A292" s="16" t="s">
        <v>40</v>
      </c>
      <c r="B292" s="3">
        <f t="shared" si="96"/>
        <v>2921.9496164614293</v>
      </c>
    </row>
    <row r="293" spans="1:2" ht="12.75">
      <c r="A293" s="16" t="s">
        <v>41</v>
      </c>
      <c r="B293" s="3">
        <f t="shared" si="96"/>
        <v>3407.0144104525834</v>
      </c>
    </row>
    <row r="294" spans="1:2" ht="12.75">
      <c r="A294" s="16" t="s">
        <v>42</v>
      </c>
      <c r="B294" s="3">
        <f t="shared" si="96"/>
        <v>3898.475391469857</v>
      </c>
    </row>
    <row r="295" spans="1:2" ht="12.75">
      <c r="A295" s="16" t="s">
        <v>43</v>
      </c>
      <c r="B295" s="3">
        <f t="shared" si="96"/>
        <v>4005.03289300148</v>
      </c>
    </row>
    <row r="296" spans="1:2" ht="12.75">
      <c r="A296" s="16" t="s">
        <v>44</v>
      </c>
      <c r="B296" s="3">
        <f t="shared" si="96"/>
        <v>3650.377578852148</v>
      </c>
    </row>
    <row r="297" spans="1:2" ht="12.75">
      <c r="A297" s="16" t="s">
        <v>45</v>
      </c>
      <c r="B297" s="3">
        <f t="shared" si="96"/>
        <v>3267.6278662847017</v>
      </c>
    </row>
    <row r="298" spans="1:2" ht="12.75">
      <c r="A298" s="16" t="s">
        <v>46</v>
      </c>
      <c r="B298" s="3">
        <f t="shared" si="96"/>
        <v>3778.5120551425603</v>
      </c>
    </row>
    <row r="299" spans="1:2" ht="12.75">
      <c r="A299" s="16" t="s">
        <v>47</v>
      </c>
      <c r="B299" s="3">
        <f t="shared" si="96"/>
        <v>5250.206792422184</v>
      </c>
    </row>
    <row r="300" spans="1:2" ht="12.75">
      <c r="A300" s="16" t="s">
        <v>48</v>
      </c>
      <c r="B300" s="3">
        <f t="shared" si="96"/>
        <v>5046.56181522719</v>
      </c>
    </row>
    <row r="301" spans="1:2" ht="12.75">
      <c r="A301" s="16" t="s">
        <v>49</v>
      </c>
      <c r="B301" s="3">
        <f t="shared" si="96"/>
        <v>4089.4680162622026</v>
      </c>
    </row>
    <row r="302" spans="1:2" ht="12.75">
      <c r="A302" s="16" t="s">
        <v>50</v>
      </c>
      <c r="B302" s="3">
        <f t="shared" si="96"/>
        <v>3135.483218146844</v>
      </c>
    </row>
    <row r="303" spans="1:2" ht="12.75">
      <c r="A303" s="16" t="s">
        <v>65</v>
      </c>
      <c r="B303" s="3">
        <f t="shared" si="96"/>
        <v>2022.9927143889352</v>
      </c>
    </row>
    <row r="304" spans="1:2" ht="12.75">
      <c r="A304" s="16" t="s">
        <v>66</v>
      </c>
      <c r="B304" s="3">
        <f t="shared" si="96"/>
        <v>1817.5664202364333</v>
      </c>
    </row>
    <row r="306" spans="1:3" ht="12.75">
      <c r="A306" t="s">
        <v>141</v>
      </c>
      <c r="B306" s="3" t="str">
        <f ca="1">INDIRECT(Table!$D$8&amp;Calculate!C306)</f>
        <v>2046-2050</v>
      </c>
      <c r="C306">
        <v>237</v>
      </c>
    </row>
    <row r="307" spans="1:3" ht="12.75">
      <c r="A307" s="60" t="s">
        <v>137</v>
      </c>
      <c r="B307" s="3">
        <f ca="1">INDIRECT(Table!$D$8&amp;Calculate!C307)</f>
        <v>4427.698056893522</v>
      </c>
      <c r="C307">
        <v>238</v>
      </c>
    </row>
    <row r="308" spans="1:3" ht="12.75">
      <c r="A308" s="60" t="s">
        <v>138</v>
      </c>
      <c r="B308" s="3">
        <f ca="1">INDIRECT(Table!$D$8&amp;Calculate!C308)</f>
        <v>10484.539243694755</v>
      </c>
      <c r="C308">
        <f>+C307+1</f>
        <v>239</v>
      </c>
    </row>
    <row r="309" spans="1:3" ht="12.75">
      <c r="A309" s="60" t="s">
        <v>139</v>
      </c>
      <c r="B309" s="3">
        <f ca="1">INDIRECT(Table!$D$8&amp;Calculate!C309)</f>
        <v>540.5463243454042</v>
      </c>
      <c r="C309">
        <f>+C308+1</f>
        <v>240</v>
      </c>
    </row>
    <row r="310" spans="1:3" ht="12.75">
      <c r="A310" s="60" t="s">
        <v>140</v>
      </c>
      <c r="B310" s="3">
        <f ca="1">INDIRECT(Table!$D$8&amp;Calculate!C310)</f>
        <v>198.05127273363573</v>
      </c>
      <c r="C310">
        <f>+C309+1</f>
        <v>241</v>
      </c>
    </row>
    <row r="311" ht="12.75">
      <c r="A311" t="s">
        <v>142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BG271"/>
  <sheetViews>
    <sheetView workbookViewId="0" topLeftCell="D46">
      <selection activeCell="C9" sqref="C9:C179"/>
    </sheetView>
  </sheetViews>
  <sheetFormatPr defaultColWidth="9.140625" defaultRowHeight="12.75"/>
  <cols>
    <col min="1" max="1" width="10.28125" style="0" bestFit="1" customWidth="1"/>
    <col min="2" max="2" width="10.28125" style="0" customWidth="1"/>
    <col min="7" max="7" width="8.421875" style="0" customWidth="1"/>
    <col min="13" max="13" width="8.7109375" style="0" customWidth="1"/>
  </cols>
  <sheetData>
    <row r="1" spans="1:42" ht="12.75">
      <c r="A1" s="1">
        <v>2051</v>
      </c>
      <c r="B1" s="2" t="s">
        <v>0</v>
      </c>
      <c r="AK1">
        <v>2006</v>
      </c>
      <c r="AL1">
        <v>2</v>
      </c>
      <c r="AM1" t="s">
        <v>1</v>
      </c>
      <c r="AN1" t="s">
        <v>2</v>
      </c>
      <c r="AO1" s="3">
        <f aca="true" t="shared" si="0" ref="AO1:AO10">AP1+1</f>
        <v>227.87772318033475</v>
      </c>
      <c r="AP1" s="3">
        <v>226.87772318033475</v>
      </c>
    </row>
    <row r="2" spans="1:42" ht="12.75">
      <c r="A2" t="s">
        <v>3</v>
      </c>
      <c r="B2" s="4">
        <f ca="1">INDIRECT("Calculate!"&amp;C$8&amp;$H105)</f>
        <v>1.396</v>
      </c>
      <c r="D2">
        <f>O67-B3</f>
        <v>-1.669980215623923E-05</v>
      </c>
      <c r="E2" s="1">
        <v>-2.9935824547215315</v>
      </c>
      <c r="AK2">
        <v>2011</v>
      </c>
      <c r="AL2">
        <v>7</v>
      </c>
      <c r="AM2" t="s">
        <v>4</v>
      </c>
      <c r="AN2" t="s">
        <v>1</v>
      </c>
      <c r="AO2" s="3">
        <f t="shared" si="0"/>
        <v>157.3804809001168</v>
      </c>
      <c r="AP2" s="3">
        <v>156.3804809001168</v>
      </c>
    </row>
    <row r="3" spans="1:42" ht="12.75">
      <c r="A3" t="s">
        <v>5</v>
      </c>
      <c r="B3" s="2">
        <f ca="1">INDIRECT("Calculate!"&amp;C$8&amp;$H106)</f>
        <v>27.05722678122877</v>
      </c>
      <c r="D3" s="5">
        <f>(M11-F62)*100</f>
        <v>2.4432297257657304E-05</v>
      </c>
      <c r="E3" s="1">
        <v>-0.3533919204506545</v>
      </c>
      <c r="AK3">
        <v>2016</v>
      </c>
      <c r="AL3">
        <v>12</v>
      </c>
      <c r="AM3" t="s">
        <v>6</v>
      </c>
      <c r="AN3" t="s">
        <v>4</v>
      </c>
      <c r="AO3" s="3">
        <f t="shared" si="0"/>
        <v>136.77163504253707</v>
      </c>
      <c r="AP3" s="3">
        <v>135.77163504253707</v>
      </c>
    </row>
    <row r="4" spans="1:42" ht="12.75">
      <c r="A4" t="s">
        <v>7</v>
      </c>
      <c r="B4" s="2">
        <f ca="1">INDIRECT("Calculate!"&amp;C$8&amp;$H107)</f>
        <v>66.06658016652212</v>
      </c>
      <c r="D4" s="5">
        <f>(M35-G62)*100</f>
        <v>1.8286473339691398E-05</v>
      </c>
      <c r="E4" s="1">
        <v>-0.018218690671363027</v>
      </c>
      <c r="H4" t="s">
        <v>8</v>
      </c>
      <c r="AK4">
        <v>2021</v>
      </c>
      <c r="AL4">
        <v>17</v>
      </c>
      <c r="AM4" t="s">
        <v>9</v>
      </c>
      <c r="AN4" t="s">
        <v>6</v>
      </c>
      <c r="AO4" s="3">
        <f t="shared" si="0"/>
        <v>128.79042135028445</v>
      </c>
      <c r="AP4" s="3">
        <v>127.79042135028445</v>
      </c>
    </row>
    <row r="5" spans="2:42" ht="12.75">
      <c r="B5" s="2">
        <f ca="1">INDIRECT("Calculate!"&amp;C$8&amp;$H108)</f>
        <v>77.49136083785883</v>
      </c>
      <c r="D5" s="6">
        <f>B4-R11</f>
        <v>9.251634807583287E-06</v>
      </c>
      <c r="E5" s="1">
        <v>-0.27017199188041147</v>
      </c>
      <c r="K5" s="7"/>
      <c r="AK5">
        <v>2026</v>
      </c>
      <c r="AL5">
        <v>22</v>
      </c>
      <c r="AM5" t="s">
        <v>10</v>
      </c>
      <c r="AN5" t="s">
        <v>9</v>
      </c>
      <c r="AO5" s="3">
        <f t="shared" si="0"/>
        <v>124.1257308066512</v>
      </c>
      <c r="AP5" s="3">
        <v>123.1257308066512</v>
      </c>
    </row>
    <row r="6" spans="1:42" ht="12.75">
      <c r="A6" t="s">
        <v>11</v>
      </c>
      <c r="B6" s="2">
        <f ca="1">INDIRECT("Calculate!"&amp;C$8&amp;$H109)</f>
        <v>3.8784918822458976</v>
      </c>
      <c r="D6" s="6">
        <f>B5-R35</f>
        <v>2.1914706806569484E-05</v>
      </c>
      <c r="E6" s="1">
        <v>-0.39525575378254996</v>
      </c>
      <c r="F6" s="8"/>
      <c r="G6" s="8"/>
      <c r="H6" s="8"/>
      <c r="I6" s="8"/>
      <c r="J6" s="9"/>
      <c r="K6" s="7"/>
      <c r="L6" s="10"/>
      <c r="Q6" s="8"/>
      <c r="R6" s="8"/>
      <c r="AK6">
        <v>2031</v>
      </c>
      <c r="AL6">
        <v>27</v>
      </c>
      <c r="AM6" t="s">
        <v>12</v>
      </c>
      <c r="AN6" t="s">
        <v>10</v>
      </c>
      <c r="AO6" s="3">
        <f t="shared" si="0"/>
        <v>120.52286065338265</v>
      </c>
      <c r="AP6" s="3">
        <v>119.52286065338265</v>
      </c>
    </row>
    <row r="7" spans="2:42" ht="12.75">
      <c r="B7" s="2" t="s">
        <v>13</v>
      </c>
      <c r="D7" s="11"/>
      <c r="E7" s="7"/>
      <c r="F7" s="8"/>
      <c r="G7" s="8"/>
      <c r="H7" s="8"/>
      <c r="I7" s="8"/>
      <c r="J7" s="9"/>
      <c r="K7" s="7"/>
      <c r="L7" s="10"/>
      <c r="Q7" s="8"/>
      <c r="R7" s="8"/>
      <c r="AK7">
        <v>2036</v>
      </c>
      <c r="AL7">
        <v>32</v>
      </c>
      <c r="AM7" t="s">
        <v>14</v>
      </c>
      <c r="AN7" t="s">
        <v>12</v>
      </c>
      <c r="AO7" s="3">
        <f t="shared" si="0"/>
        <v>117.41915394355333</v>
      </c>
      <c r="AP7" s="3">
        <v>116.41915394355333</v>
      </c>
    </row>
    <row r="8" spans="2:42" ht="12.75">
      <c r="B8" s="6" t="str">
        <f>VLOOKUP($A$1,$AK$1:$AN$11,4)</f>
        <v>AX</v>
      </c>
      <c r="C8" t="str">
        <f>VLOOKUP($A$1,$AK$1:$AN$11,3)</f>
        <v>BD</v>
      </c>
      <c r="D8" t="str">
        <f>VLOOKUP($A$1+5,$AK$1:$AN$11,3)</f>
        <v>BJ</v>
      </c>
      <c r="E8">
        <f>47-9</f>
        <v>38</v>
      </c>
      <c r="F8" s="2"/>
      <c r="H8" s="11"/>
      <c r="I8" s="7"/>
      <c r="J8" s="8"/>
      <c r="K8" s="8"/>
      <c r="L8" s="8"/>
      <c r="M8" s="8"/>
      <c r="N8" s="9"/>
      <c r="O8" s="7"/>
      <c r="P8" s="10"/>
      <c r="U8" s="8"/>
      <c r="V8" s="8"/>
      <c r="AK8">
        <v>2041</v>
      </c>
      <c r="AL8">
        <v>37</v>
      </c>
      <c r="AM8" t="s">
        <v>15</v>
      </c>
      <c r="AN8" t="s">
        <v>14</v>
      </c>
      <c r="AO8" s="3">
        <f t="shared" si="0"/>
        <v>114.54928649837825</v>
      </c>
      <c r="AP8" s="3">
        <v>113.54928649837825</v>
      </c>
    </row>
    <row r="9" spans="1:42" ht="15.75">
      <c r="A9" s="6" t="s">
        <v>16</v>
      </c>
      <c r="B9" s="5">
        <f ca="1" t="shared" si="1" ref="B9:B26">INDIRECT("Calculate!"&amp;B$8&amp;$D9)</f>
        <v>0.9948716079125554</v>
      </c>
      <c r="C9" s="5">
        <f aca="true" t="shared" si="2" ref="C9:C26">T11</f>
        <v>0.9952935227592643</v>
      </c>
      <c r="D9">
        <v>47</v>
      </c>
      <c r="H9" s="12"/>
      <c r="I9" s="13" t="s">
        <v>17</v>
      </c>
      <c r="K9" s="13" t="s">
        <v>18</v>
      </c>
      <c r="N9" s="14"/>
      <c r="O9" s="7"/>
      <c r="P9" s="10"/>
      <c r="V9" s="14" t="s">
        <v>19</v>
      </c>
      <c r="AK9">
        <v>2046</v>
      </c>
      <c r="AL9">
        <v>42</v>
      </c>
      <c r="AM9" t="s">
        <v>20</v>
      </c>
      <c r="AN9" t="s">
        <v>15</v>
      </c>
      <c r="AO9" s="3">
        <f t="shared" si="0"/>
        <v>111.77177774150591</v>
      </c>
      <c r="AP9" s="3">
        <v>110.77177774150591</v>
      </c>
    </row>
    <row r="10" spans="1:58" ht="12.75">
      <c r="A10" s="13" t="s">
        <v>21</v>
      </c>
      <c r="B10" s="5">
        <f ca="1" t="shared" si="1"/>
        <v>0.9988978166460086</v>
      </c>
      <c r="C10" s="5">
        <f t="shared" si="2"/>
        <v>0.9990080011989896</v>
      </c>
      <c r="D10">
        <v>48</v>
      </c>
      <c r="F10" s="15" t="s">
        <v>22</v>
      </c>
      <c r="G10" s="16" t="s">
        <v>23</v>
      </c>
      <c r="I10" s="9">
        <f>E5</f>
        <v>-0.27017199188041147</v>
      </c>
      <c r="J10" s="16" t="s">
        <v>23</v>
      </c>
      <c r="K10" s="17">
        <f>E3</f>
        <v>-0.3533919204506545</v>
      </c>
      <c r="L10" s="16" t="s">
        <v>23</v>
      </c>
      <c r="M10" s="16" t="s">
        <v>23</v>
      </c>
      <c r="N10" s="16" t="s">
        <v>24</v>
      </c>
      <c r="O10" s="16" t="s">
        <v>25</v>
      </c>
      <c r="P10" s="16" t="s">
        <v>26</v>
      </c>
      <c r="Q10" s="13" t="s">
        <v>27</v>
      </c>
      <c r="R10" s="16" t="s">
        <v>28</v>
      </c>
      <c r="S10" s="16"/>
      <c r="T10" s="16" t="s">
        <v>29</v>
      </c>
      <c r="U10" s="18" t="s">
        <v>22</v>
      </c>
      <c r="V10" s="14" t="s">
        <v>30</v>
      </c>
      <c r="AG10" s="16" t="s">
        <v>30</v>
      </c>
      <c r="AH10" s="16" t="s">
        <v>31</v>
      </c>
      <c r="AK10">
        <v>2051</v>
      </c>
      <c r="AL10">
        <v>47</v>
      </c>
      <c r="AM10" t="s">
        <v>32</v>
      </c>
      <c r="AN10" t="s">
        <v>20</v>
      </c>
      <c r="AO10" s="3">
        <f t="shared" si="0"/>
        <v>109.10926486908083</v>
      </c>
      <c r="AP10" s="3">
        <v>108.10926486908083</v>
      </c>
      <c r="AR10" s="2">
        <f>B4</f>
        <v>66.06658016652212</v>
      </c>
      <c r="AS10" s="2">
        <v>15.9</v>
      </c>
      <c r="AT10">
        <v>23.1673748435359</v>
      </c>
      <c r="AU10">
        <v>29.101864436424073</v>
      </c>
      <c r="AV10">
        <v>34.582090056854</v>
      </c>
      <c r="AW10">
        <v>39.82377561756954</v>
      </c>
      <c r="AX10">
        <v>44.931822584839544</v>
      </c>
      <c r="AY10">
        <v>49.95443489676848</v>
      </c>
      <c r="AZ10">
        <v>54.928605299296734</v>
      </c>
      <c r="BA10">
        <v>59.85219527526697</v>
      </c>
      <c r="BB10">
        <v>64.7764602544244</v>
      </c>
      <c r="BC10">
        <v>69.64788341755313</v>
      </c>
      <c r="BD10">
        <v>74.4148003321446</v>
      </c>
      <c r="BE10">
        <v>78.8860340328326</v>
      </c>
      <c r="BF10">
        <v>1000</v>
      </c>
    </row>
    <row r="11" spans="1:57" ht="12.75">
      <c r="A11" s="16" t="s">
        <v>33</v>
      </c>
      <c r="B11" s="5">
        <f ca="1" t="shared" si="1"/>
        <v>0.9985252247964926</v>
      </c>
      <c r="C11" s="5">
        <f t="shared" si="2"/>
        <v>0.9986500442220531</v>
      </c>
      <c r="D11">
        <v>49</v>
      </c>
      <c r="E11" s="19">
        <v>0</v>
      </c>
      <c r="F11" s="20">
        <f aca="true" t="shared" si="3" ref="F11:F28">IF(AND($B$4&gt;50,$B$4&lt;70),B47,AQ11)</f>
        <v>0.004841628145599063</v>
      </c>
      <c r="G11" s="21">
        <f>F11/(1+(1-(0.07+1.7*F11))*F11)</f>
        <v>0.004820116621337691</v>
      </c>
      <c r="H11" s="22">
        <f aca="true" t="shared" si="4" ref="H11:H28">0.5*LN($G11/(1-$G11))</f>
        <v>-2.665062692532845</v>
      </c>
      <c r="I11" s="23">
        <f aca="true" t="shared" si="5" ref="I11:I28">EXP(2*H11+$I$10*V11)</f>
        <v>0.004543224289550308</v>
      </c>
      <c r="J11" s="23">
        <f aca="true" t="shared" si="6" ref="J11:J28">I11/(1+I11)</f>
        <v>0.0045226767546647315</v>
      </c>
      <c r="K11" s="23">
        <f aca="true" t="shared" si="7" ref="K11:K28">EXP(2*H11+$K$10*V11)</f>
        <v>0.004454547496181029</v>
      </c>
      <c r="L11" s="23">
        <f aca="true" t="shared" si="8" ref="L11:L28">K11/(1+K11)</f>
        <v>0.004434792502343632</v>
      </c>
      <c r="M11" s="23">
        <f>L11</f>
        <v>0.004434792502343632</v>
      </c>
      <c r="N11" s="24">
        <v>100000</v>
      </c>
      <c r="O11" s="25">
        <f aca="true" t="shared" si="9" ref="O11:O28">N11-N12</f>
        <v>443.47925023436255</v>
      </c>
      <c r="P11" s="25">
        <f>O11/((-(1-0.93*M11)+SQRT((1-0.93*M11)^2+4*1.7*M11*M11))/3.4/M11)</f>
        <v>99590.92148619275</v>
      </c>
      <c r="Q11" s="26">
        <f aca="true" t="shared" si="10" ref="Q11:Q28">Q12+P11</f>
        <v>6606657.09148873</v>
      </c>
      <c r="R11" s="6">
        <f aca="true" t="shared" si="11" ref="R11:R29">Q11/N11</f>
        <v>66.06657091488731</v>
      </c>
      <c r="S11" s="6" t="s">
        <v>16</v>
      </c>
      <c r="T11" s="5">
        <f>(P11+P12)/N11/5</f>
        <v>0.9952935227592643</v>
      </c>
      <c r="U11" s="27">
        <f aca="true" t="shared" si="12" ref="U11:U28">O11/P11</f>
        <v>0.004453008804581112</v>
      </c>
      <c r="V11" s="23">
        <v>0.23686</v>
      </c>
      <c r="Y11" s="28" t="s">
        <v>34</v>
      </c>
      <c r="Z11" s="28" t="s">
        <v>35</v>
      </c>
      <c r="AA11" s="28" t="s">
        <v>36</v>
      </c>
      <c r="AF11" s="19">
        <v>0</v>
      </c>
      <c r="AG11" s="23">
        <f aca="true" t="shared" si="13" ref="AG11:AG28">M11</f>
        <v>0.004434792502343632</v>
      </c>
      <c r="AH11" s="23">
        <f aca="true" t="shared" si="14" ref="AH11:AH28">M35</f>
        <v>0.0032850214721658645</v>
      </c>
      <c r="AK11">
        <v>2056</v>
      </c>
      <c r="AL11">
        <v>52</v>
      </c>
      <c r="AM11" t="s">
        <v>2</v>
      </c>
      <c r="AN11" t="s">
        <v>32</v>
      </c>
      <c r="AQ11">
        <f>SUMPRODUCT(AS11:BE11,AS29:BE29)</f>
        <v>0.04856</v>
      </c>
      <c r="AR11" s="19">
        <v>0</v>
      </c>
      <c r="AS11">
        <v>0.52713</v>
      </c>
      <c r="AT11">
        <v>0.4156</v>
      </c>
      <c r="AU11">
        <v>0.33208</v>
      </c>
      <c r="AV11">
        <v>0.26672</v>
      </c>
      <c r="AW11">
        <v>0.21387</v>
      </c>
      <c r="AX11">
        <v>0.17006</v>
      </c>
      <c r="AY11">
        <v>0.13341</v>
      </c>
      <c r="AZ11">
        <v>0.10112</v>
      </c>
      <c r="BA11">
        <v>0.07321</v>
      </c>
      <c r="BB11">
        <v>0.04856</v>
      </c>
      <c r="BC11">
        <v>0.02677</v>
      </c>
      <c r="BD11">
        <v>0.01118</v>
      </c>
      <c r="BE11">
        <v>0.00248</v>
      </c>
    </row>
    <row r="12" spans="1:57" ht="12.75">
      <c r="A12" s="16" t="s">
        <v>37</v>
      </c>
      <c r="B12" s="5">
        <f ca="1" t="shared" si="1"/>
        <v>0.9960227475186696</v>
      </c>
      <c r="C12" s="5">
        <f t="shared" si="2"/>
        <v>0.9963236618110003</v>
      </c>
      <c r="D12">
        <v>50</v>
      </c>
      <c r="E12" s="19">
        <v>1</v>
      </c>
      <c r="F12" s="20">
        <f t="shared" si="3"/>
        <v>0.0002009041918930411</v>
      </c>
      <c r="G12" s="21">
        <f>4*F12/(1+2.6*F12)</f>
        <v>0.0008031972167839657</v>
      </c>
      <c r="H12" s="22">
        <f t="shared" si="4"/>
        <v>-3.563053377119862</v>
      </c>
      <c r="I12" s="23">
        <f t="shared" si="5"/>
        <v>0.0007291896537530946</v>
      </c>
      <c r="J12" s="23">
        <f t="shared" si="6"/>
        <v>0.0007286583236423735</v>
      </c>
      <c r="K12" s="23">
        <f t="shared" si="7"/>
        <v>0.0007076223876137716</v>
      </c>
      <c r="L12" s="23">
        <f t="shared" si="8"/>
        <v>0.0007071220122471311</v>
      </c>
      <c r="M12" s="23">
        <f>L12*0.75+J12*0.25</f>
        <v>0.0007125060900959417</v>
      </c>
      <c r="N12" s="24">
        <f aca="true" t="shared" si="15" ref="N12:N29">N11*(1-M11)</f>
        <v>99556.52074976564</v>
      </c>
      <c r="O12" s="25">
        <f t="shared" si="9"/>
        <v>70.93462734296918</v>
      </c>
      <c r="P12" s="25">
        <f>N13*4+O12*1.6</f>
        <v>398055.83989343944</v>
      </c>
      <c r="Q12" s="26">
        <f t="shared" si="10"/>
        <v>6507066.170002538</v>
      </c>
      <c r="R12" s="6">
        <f t="shared" si="11"/>
        <v>65.36052205317607</v>
      </c>
      <c r="S12" s="13" t="s">
        <v>21</v>
      </c>
      <c r="T12" s="5">
        <f>P13/(P12+P11)</f>
        <v>0.9990080011989896</v>
      </c>
      <c r="U12" s="27">
        <f t="shared" si="12"/>
        <v>0.00017820270483145923</v>
      </c>
      <c r="V12" s="23">
        <v>0.36077</v>
      </c>
      <c r="X12" s="29">
        <v>57.5</v>
      </c>
      <c r="Y12" s="30">
        <f aca="true" t="shared" si="16" ref="Y12:Y17">LN((1-M23)/M23)</f>
        <v>2.1011369510339875</v>
      </c>
      <c r="Z12" s="31">
        <f>TREND(Y12:Y17,X12:X17,X12)</f>
        <v>2.131791208123314</v>
      </c>
      <c r="AA12" s="31">
        <f aca="true" t="shared" si="17" ref="AA12:AA27">1/(1+EXP(Z12))</f>
        <v>0.10604506615918943</v>
      </c>
      <c r="AF12" s="19">
        <v>1</v>
      </c>
      <c r="AG12" s="23">
        <f t="shared" si="13"/>
        <v>0.0007125060900959417</v>
      </c>
      <c r="AH12" s="23">
        <f t="shared" si="14"/>
        <v>0.0009562296249291781</v>
      </c>
      <c r="AQ12">
        <f>SUMPRODUCT(AS12:BE12,AS29:BE29)</f>
        <v>0.00294</v>
      </c>
      <c r="AR12" s="19">
        <v>1</v>
      </c>
      <c r="AS12">
        <v>0.07133</v>
      </c>
      <c r="AT12">
        <v>0.05661</v>
      </c>
      <c r="AU12">
        <v>0.04512</v>
      </c>
      <c r="AV12">
        <v>0.03583</v>
      </c>
      <c r="AW12">
        <v>0.02812</v>
      </c>
      <c r="AX12">
        <v>0.0216</v>
      </c>
      <c r="AY12">
        <v>0.01525</v>
      </c>
      <c r="AZ12">
        <v>0.01031</v>
      </c>
      <c r="BA12">
        <v>0.00631</v>
      </c>
      <c r="BB12">
        <v>0.00294</v>
      </c>
      <c r="BC12">
        <v>0.00118</v>
      </c>
      <c r="BD12">
        <v>0.0003</v>
      </c>
      <c r="BE12">
        <v>3E-05</v>
      </c>
    </row>
    <row r="13" spans="1:57" ht="12.75">
      <c r="A13" s="16" t="s">
        <v>38</v>
      </c>
      <c r="B13" s="5">
        <f ca="1" t="shared" si="1"/>
        <v>0.9902767797448967</v>
      </c>
      <c r="C13" s="5">
        <f t="shared" si="2"/>
        <v>0.9909955127138556</v>
      </c>
      <c r="D13">
        <v>51</v>
      </c>
      <c r="E13" s="19">
        <v>5</v>
      </c>
      <c r="F13" s="20">
        <f t="shared" si="3"/>
        <v>0.0002436964222986161</v>
      </c>
      <c r="G13" s="21">
        <f aca="true" t="shared" si="18" ref="G13:G28">5*F13/(1+2.5*F13)</f>
        <v>0.001217740214159381</v>
      </c>
      <c r="H13" s="22">
        <f t="shared" si="4"/>
        <v>-3.3547699695244955</v>
      </c>
      <c r="I13" s="23">
        <f t="shared" si="5"/>
        <v>0.0011138876874404362</v>
      </c>
      <c r="J13" s="23">
        <f t="shared" si="6"/>
        <v>0.0011126483221739155</v>
      </c>
      <c r="K13" s="23">
        <f t="shared" si="7"/>
        <v>0.001083312430038633</v>
      </c>
      <c r="L13" s="23">
        <f t="shared" si="8"/>
        <v>0.001082140134180232</v>
      </c>
      <c r="M13" s="23">
        <f>L13*0.25+J13*0.75</f>
        <v>0.0011050212751754947</v>
      </c>
      <c r="N13" s="24">
        <f t="shared" si="15"/>
        <v>99485.58612242267</v>
      </c>
      <c r="O13" s="25">
        <f t="shared" si="9"/>
        <v>109.93368923859089</v>
      </c>
      <c r="P13" s="25">
        <f aca="true" t="shared" si="19" ref="P13:P28">(N13+N14)*2.5</f>
        <v>497153.09638901684</v>
      </c>
      <c r="Q13" s="26">
        <f t="shared" si="10"/>
        <v>6109010.330109098</v>
      </c>
      <c r="R13" s="6">
        <f t="shared" si="11"/>
        <v>61.40598420550705</v>
      </c>
      <c r="S13" s="16" t="s">
        <v>33</v>
      </c>
      <c r="T13" s="5">
        <f aca="true" t="shared" si="20" ref="T13:T27">P14/P13</f>
        <v>0.9986500442220531</v>
      </c>
      <c r="U13" s="27">
        <f t="shared" si="12"/>
        <v>0.0002211264297398019</v>
      </c>
      <c r="V13" s="23">
        <v>0.33445</v>
      </c>
      <c r="X13" s="29">
        <v>62.5</v>
      </c>
      <c r="Y13" s="30">
        <f t="shared" si="16"/>
        <v>1.7189645510945288</v>
      </c>
      <c r="Z13" s="31">
        <f>TREND(Y12:Y17,X12:X17,X13)</f>
        <v>1.7276154943926807</v>
      </c>
      <c r="AA13" s="31">
        <f t="shared" si="17"/>
        <v>0.15089283833802225</v>
      </c>
      <c r="AF13" s="19">
        <v>5</v>
      </c>
      <c r="AG13" s="23">
        <f t="shared" si="13"/>
        <v>0.0011050212751754947</v>
      </c>
      <c r="AH13" s="23">
        <f t="shared" si="14"/>
        <v>0.0006684814516139581</v>
      </c>
      <c r="AQ13">
        <f>SUMPRODUCT(AS13:BE13,AS29:BE29)</f>
        <v>0.0011</v>
      </c>
      <c r="AR13" s="19">
        <v>5</v>
      </c>
      <c r="AS13">
        <v>0.01292</v>
      </c>
      <c r="AT13">
        <v>0.01064</v>
      </c>
      <c r="AU13">
        <v>0.00877</v>
      </c>
      <c r="AV13">
        <v>0.00719</v>
      </c>
      <c r="AW13">
        <v>0.00584</v>
      </c>
      <c r="AX13">
        <v>0.00466</v>
      </c>
      <c r="AY13">
        <v>0.00358</v>
      </c>
      <c r="AZ13">
        <v>0.00265</v>
      </c>
      <c r="BA13">
        <v>0.00183</v>
      </c>
      <c r="BB13">
        <v>0.0011</v>
      </c>
      <c r="BC13">
        <v>0.00057</v>
      </c>
      <c r="BD13">
        <v>0.00021</v>
      </c>
      <c r="BE13">
        <v>4E-05</v>
      </c>
    </row>
    <row r="14" spans="1:57" ht="12.75">
      <c r="A14" s="16" t="s">
        <v>39</v>
      </c>
      <c r="B14" s="5">
        <f ca="1" t="shared" si="1"/>
        <v>0.9855339901963233</v>
      </c>
      <c r="C14" s="5">
        <f t="shared" si="2"/>
        <v>0.986583341981434</v>
      </c>
      <c r="D14">
        <v>52</v>
      </c>
      <c r="E14" s="19">
        <f aca="true" t="shared" si="21" ref="E14:E29">+E13+5</f>
        <v>10</v>
      </c>
      <c r="F14" s="20">
        <f t="shared" si="3"/>
        <v>0.00034672500053763074</v>
      </c>
      <c r="G14" s="21">
        <f t="shared" si="18"/>
        <v>0.0017321235763183283</v>
      </c>
      <c r="H14" s="22">
        <f t="shared" si="4"/>
        <v>-3.1783367485183196</v>
      </c>
      <c r="I14" s="23">
        <f t="shared" si="5"/>
        <v>0.0015977098427791283</v>
      </c>
      <c r="J14" s="23">
        <f t="shared" si="6"/>
        <v>0.0015951612379684066</v>
      </c>
      <c r="K14" s="23">
        <f t="shared" si="7"/>
        <v>0.0015576151311668843</v>
      </c>
      <c r="L14" s="23">
        <f t="shared" si="8"/>
        <v>0.0015551927394240764</v>
      </c>
      <c r="M14" s="23">
        <f aca="true" t="shared" si="22" ref="M14:M28">J14</f>
        <v>0.0015951612379684066</v>
      </c>
      <c r="N14" s="24">
        <f t="shared" si="15"/>
        <v>99375.65243318408</v>
      </c>
      <c r="O14" s="25">
        <f t="shared" si="9"/>
        <v>158.52018875924114</v>
      </c>
      <c r="P14" s="25">
        <f t="shared" si="19"/>
        <v>496481.9616940223</v>
      </c>
      <c r="Q14" s="26">
        <f t="shared" si="10"/>
        <v>5611857.233720081</v>
      </c>
      <c r="R14" s="6">
        <f t="shared" si="11"/>
        <v>56.471148579308725</v>
      </c>
      <c r="S14" s="16" t="s">
        <v>37</v>
      </c>
      <c r="T14" s="5">
        <f t="shared" si="20"/>
        <v>0.9963236618110003</v>
      </c>
      <c r="U14" s="27">
        <f t="shared" si="12"/>
        <v>0.00031928690464072854</v>
      </c>
      <c r="V14" s="23">
        <v>0.3054</v>
      </c>
      <c r="X14" s="29">
        <v>67.5</v>
      </c>
      <c r="Y14" s="30">
        <f t="shared" si="16"/>
        <v>1.3300663251061693</v>
      </c>
      <c r="Z14" s="31">
        <f>TREND(Y12:Y17,X12:X17,X14)</f>
        <v>1.3234397806620484</v>
      </c>
      <c r="AA14" s="31">
        <f t="shared" si="17"/>
        <v>0.21024657288072987</v>
      </c>
      <c r="AF14" s="19">
        <f aca="true" t="shared" si="23" ref="AF14:AF29">+AF13+5</f>
        <v>10</v>
      </c>
      <c r="AG14" s="23">
        <f t="shared" si="13"/>
        <v>0.0015951612379684066</v>
      </c>
      <c r="AH14" s="23">
        <f t="shared" si="14"/>
        <v>0.0006793602840686381</v>
      </c>
      <c r="AQ14">
        <f>SUMPRODUCT(AS14:BE14,AS29:BE29)</f>
        <v>0.00087</v>
      </c>
      <c r="AR14" s="19">
        <v>10</v>
      </c>
      <c r="AS14">
        <v>0.00919</v>
      </c>
      <c r="AT14">
        <v>0.00759</v>
      </c>
      <c r="AU14">
        <v>0.00628</v>
      </c>
      <c r="AV14">
        <v>0.00517</v>
      </c>
      <c r="AW14">
        <v>0.00422</v>
      </c>
      <c r="AX14">
        <v>0.00338</v>
      </c>
      <c r="AY14">
        <v>0.00261</v>
      </c>
      <c r="AZ14">
        <v>0.00196</v>
      </c>
      <c r="BA14">
        <v>0.00138</v>
      </c>
      <c r="BB14">
        <v>0.00087</v>
      </c>
      <c r="BC14">
        <v>0.00047</v>
      </c>
      <c r="BD14">
        <v>0.00018</v>
      </c>
      <c r="BE14">
        <v>4E-05</v>
      </c>
    </row>
    <row r="15" spans="1:57" ht="12.75">
      <c r="A15" s="16" t="s">
        <v>40</v>
      </c>
      <c r="B15" s="5">
        <f ca="1" t="shared" si="1"/>
        <v>0.982336511184923</v>
      </c>
      <c r="C15" s="5">
        <f t="shared" si="2"/>
        <v>0.9836005919762975</v>
      </c>
      <c r="D15">
        <v>53</v>
      </c>
      <c r="E15" s="19">
        <f t="shared" si="21"/>
        <v>15</v>
      </c>
      <c r="F15" s="20">
        <f t="shared" si="3"/>
        <v>0.0012491441536792273</v>
      </c>
      <c r="G15" s="21">
        <f t="shared" si="18"/>
        <v>0.006226276974690829</v>
      </c>
      <c r="H15" s="22">
        <f t="shared" si="4"/>
        <v>-2.5363654900503274</v>
      </c>
      <c r="I15" s="23">
        <f t="shared" si="5"/>
        <v>0.005794219831794596</v>
      </c>
      <c r="J15" s="23">
        <f t="shared" si="6"/>
        <v>0.005760840256930091</v>
      </c>
      <c r="K15" s="23">
        <f t="shared" si="7"/>
        <v>0.005656382097094817</v>
      </c>
      <c r="L15" s="23">
        <f t="shared" si="8"/>
        <v>0.005624567394779086</v>
      </c>
      <c r="M15" s="23">
        <f t="shared" si="22"/>
        <v>0.005760840256930091</v>
      </c>
      <c r="N15" s="24">
        <f t="shared" si="15"/>
        <v>99217.13224442484</v>
      </c>
      <c r="O15" s="25">
        <f t="shared" si="9"/>
        <v>571.5740496108483</v>
      </c>
      <c r="P15" s="25">
        <f t="shared" si="19"/>
        <v>494656.72609809705</v>
      </c>
      <c r="Q15" s="26">
        <f t="shared" si="10"/>
        <v>5115375.272026058</v>
      </c>
      <c r="R15" s="6">
        <f t="shared" si="11"/>
        <v>51.55737881461998</v>
      </c>
      <c r="S15" s="16" t="s">
        <v>38</v>
      </c>
      <c r="T15" s="5">
        <f t="shared" si="20"/>
        <v>0.9909955127138556</v>
      </c>
      <c r="U15" s="27">
        <f t="shared" si="12"/>
        <v>0.0011554963663781203</v>
      </c>
      <c r="V15" s="23">
        <v>0.28931</v>
      </c>
      <c r="X15" s="29">
        <v>72.5</v>
      </c>
      <c r="Y15" s="30">
        <f t="shared" si="16"/>
        <v>0.9717426176335349</v>
      </c>
      <c r="Z15" s="31">
        <f>TREND(Y12:Y17,X12:X17,X15)</f>
        <v>0.9192640669314152</v>
      </c>
      <c r="AA15" s="31">
        <f t="shared" si="17"/>
        <v>0.28510786946214606</v>
      </c>
      <c r="AF15" s="19">
        <f t="shared" si="23"/>
        <v>15</v>
      </c>
      <c r="AG15" s="23">
        <f t="shared" si="13"/>
        <v>0.005760840256930091</v>
      </c>
      <c r="AH15" s="23">
        <f t="shared" si="14"/>
        <v>0.0016825164090467034</v>
      </c>
      <c r="AQ15">
        <f>SUMPRODUCT(AS15:BE15,AS29:BE29)</f>
        <v>0.00154</v>
      </c>
      <c r="AR15" s="19">
        <v>15</v>
      </c>
      <c r="AS15">
        <v>0.01246</v>
      </c>
      <c r="AT15">
        <v>0.01036</v>
      </c>
      <c r="AU15">
        <v>0.00863</v>
      </c>
      <c r="AV15">
        <v>0.00718</v>
      </c>
      <c r="AW15">
        <v>0.00593</v>
      </c>
      <c r="AX15">
        <v>0.00484</v>
      </c>
      <c r="AY15">
        <v>0.0039</v>
      </c>
      <c r="AZ15">
        <v>0.00303</v>
      </c>
      <c r="BA15">
        <v>0.00225</v>
      </c>
      <c r="BB15">
        <v>0.00154</v>
      </c>
      <c r="BC15">
        <v>0.0009</v>
      </c>
      <c r="BD15">
        <v>0.0004</v>
      </c>
      <c r="BE15">
        <v>0.0001</v>
      </c>
    </row>
    <row r="16" spans="1:57" ht="12.75">
      <c r="A16" s="16" t="s">
        <v>41</v>
      </c>
      <c r="B16" s="5">
        <f ca="1" t="shared" si="1"/>
        <v>0.9771011689762812</v>
      </c>
      <c r="C16" s="5">
        <f t="shared" si="2"/>
        <v>0.978670269816371</v>
      </c>
      <c r="D16">
        <v>54</v>
      </c>
      <c r="E16" s="19">
        <f t="shared" si="21"/>
        <v>20</v>
      </c>
      <c r="F16" s="20">
        <f t="shared" si="3"/>
        <v>0.0026660667021216606</v>
      </c>
      <c r="G16" s="21">
        <f t="shared" si="18"/>
        <v>0.013242072886633004</v>
      </c>
      <c r="H16" s="22">
        <f t="shared" si="4"/>
        <v>-2.155512823689969</v>
      </c>
      <c r="I16" s="23">
        <f t="shared" si="5"/>
        <v>0.01241927508147279</v>
      </c>
      <c r="J16" s="23">
        <f t="shared" si="6"/>
        <v>0.012266928719302947</v>
      </c>
      <c r="K16" s="23">
        <f t="shared" si="7"/>
        <v>0.012126387904888902</v>
      </c>
      <c r="L16" s="23">
        <f t="shared" si="8"/>
        <v>0.011981100433504789</v>
      </c>
      <c r="M16" s="23">
        <f t="shared" si="22"/>
        <v>0.012266928719302947</v>
      </c>
      <c r="N16" s="24">
        <f t="shared" si="15"/>
        <v>98645.55819481399</v>
      </c>
      <c r="O16" s="25">
        <f t="shared" si="9"/>
        <v>1210.078030851626</v>
      </c>
      <c r="P16" s="25">
        <f t="shared" si="19"/>
        <v>490202.5958969409</v>
      </c>
      <c r="Q16" s="26">
        <f t="shared" si="10"/>
        <v>4620718.545927961</v>
      </c>
      <c r="R16" s="6">
        <f t="shared" si="11"/>
        <v>46.84162805184352</v>
      </c>
      <c r="S16" s="16" t="s">
        <v>39</v>
      </c>
      <c r="T16" s="5">
        <f t="shared" si="20"/>
        <v>0.986583341981434</v>
      </c>
      <c r="U16" s="27">
        <f t="shared" si="12"/>
        <v>0.002468526362324752</v>
      </c>
      <c r="V16" s="23">
        <v>0.28678</v>
      </c>
      <c r="X16" s="29">
        <v>77.5</v>
      </c>
      <c r="Y16" s="30">
        <f t="shared" si="16"/>
        <v>0.5781266771034003</v>
      </c>
      <c r="Z16" s="31">
        <f>TREND(Y12:Y17,X12:X17,X16)</f>
        <v>0.5150883532007828</v>
      </c>
      <c r="AA16" s="31">
        <f t="shared" si="17"/>
        <v>0.374001456365921</v>
      </c>
      <c r="AF16" s="19">
        <f t="shared" si="23"/>
        <v>20</v>
      </c>
      <c r="AG16" s="23">
        <f t="shared" si="13"/>
        <v>0.012266928719302947</v>
      </c>
      <c r="AH16" s="23">
        <f t="shared" si="14"/>
        <v>0.00220292030371221</v>
      </c>
      <c r="AQ16">
        <f>SUMPRODUCT(AS16:BE16,AS29:BE29)</f>
        <v>0.00216</v>
      </c>
      <c r="AR16" s="19">
        <v>20</v>
      </c>
      <c r="AS16">
        <v>0.01791</v>
      </c>
      <c r="AT16">
        <v>0.01485</v>
      </c>
      <c r="AU16">
        <v>0.01235</v>
      </c>
      <c r="AV16">
        <v>0.01025</v>
      </c>
      <c r="AW16">
        <v>0.00845</v>
      </c>
      <c r="AX16">
        <v>0.00688</v>
      </c>
      <c r="AY16">
        <v>0.00557</v>
      </c>
      <c r="AZ16">
        <v>0.00431</v>
      </c>
      <c r="BA16">
        <v>0.00318</v>
      </c>
      <c r="BB16">
        <v>0.00216</v>
      </c>
      <c r="BC16">
        <v>0.00125</v>
      </c>
      <c r="BD16">
        <v>0.00054</v>
      </c>
      <c r="BE16">
        <v>0.00013</v>
      </c>
    </row>
    <row r="17" spans="1:57" ht="12.75">
      <c r="A17" s="16" t="s">
        <v>42</v>
      </c>
      <c r="B17" s="5">
        <f ca="1" t="shared" si="1"/>
        <v>0.9680485343388953</v>
      </c>
      <c r="C17" s="5">
        <f t="shared" si="2"/>
        <v>0.9700382320613216</v>
      </c>
      <c r="D17">
        <v>55</v>
      </c>
      <c r="E17" s="19">
        <f t="shared" si="21"/>
        <v>25</v>
      </c>
      <c r="F17" s="20">
        <f t="shared" si="3"/>
        <v>0.0031661386115434446</v>
      </c>
      <c r="G17" s="21">
        <f t="shared" si="18"/>
        <v>0.015706371683134164</v>
      </c>
      <c r="H17" s="22">
        <f t="shared" si="4"/>
        <v>-2.0689288927931813</v>
      </c>
      <c r="I17" s="23">
        <f t="shared" si="5"/>
        <v>0.01479640760130931</v>
      </c>
      <c r="J17" s="23">
        <f t="shared" si="6"/>
        <v>0.014580666122265664</v>
      </c>
      <c r="K17" s="23">
        <f t="shared" si="7"/>
        <v>0.014456215372005773</v>
      </c>
      <c r="L17" s="23">
        <f t="shared" si="8"/>
        <v>0.014250211249092315</v>
      </c>
      <c r="M17" s="23">
        <f t="shared" si="22"/>
        <v>0.014580666122265664</v>
      </c>
      <c r="N17" s="24">
        <f t="shared" si="15"/>
        <v>97435.48016396236</v>
      </c>
      <c r="O17" s="25">
        <f t="shared" si="9"/>
        <v>1420.6742047333828</v>
      </c>
      <c r="P17" s="25">
        <f t="shared" si="19"/>
        <v>483625.7153079784</v>
      </c>
      <c r="Q17" s="26">
        <f t="shared" si="10"/>
        <v>4130515.95003102</v>
      </c>
      <c r="R17" s="6">
        <f t="shared" si="11"/>
        <v>42.39231892817971</v>
      </c>
      <c r="S17" s="16" t="s">
        <v>40</v>
      </c>
      <c r="T17" s="5">
        <f t="shared" si="20"/>
        <v>0.9836005919762975</v>
      </c>
      <c r="U17" s="27">
        <f t="shared" si="12"/>
        <v>0.0029375489345695384</v>
      </c>
      <c r="V17" s="23">
        <v>0.2795</v>
      </c>
      <c r="X17" s="29">
        <v>82.5</v>
      </c>
      <c r="Y17" s="30">
        <f t="shared" si="16"/>
        <v>0.028074420808768097</v>
      </c>
      <c r="Z17" s="31">
        <f>TREND(Y12:Y17,X12:X17,X17)</f>
        <v>0.11091263947015051</v>
      </c>
      <c r="AA17" s="31">
        <f t="shared" si="17"/>
        <v>0.4723002303008498</v>
      </c>
      <c r="AD17">
        <f>SUM(AD18:AD27)</f>
        <v>4.662345503445316</v>
      </c>
      <c r="AF17" s="19">
        <f t="shared" si="23"/>
        <v>25</v>
      </c>
      <c r="AG17" s="23">
        <f t="shared" si="13"/>
        <v>0.014580666122265664</v>
      </c>
      <c r="AH17" s="23">
        <f t="shared" si="14"/>
        <v>0.002735288690563992</v>
      </c>
      <c r="AQ17">
        <f>SUMPRODUCT(AS17:BE17,AS29:BE29)</f>
        <v>0.00222</v>
      </c>
      <c r="AR17" s="19">
        <v>25</v>
      </c>
      <c r="AS17">
        <v>0.0202</v>
      </c>
      <c r="AT17">
        <v>0.01669</v>
      </c>
      <c r="AU17">
        <v>0.01382</v>
      </c>
      <c r="AV17">
        <v>0.01142</v>
      </c>
      <c r="AW17">
        <v>0.00937</v>
      </c>
      <c r="AX17">
        <v>0.00758</v>
      </c>
      <c r="AY17">
        <v>0.00608</v>
      </c>
      <c r="AZ17">
        <v>0.00464</v>
      </c>
      <c r="BA17">
        <v>0.00336</v>
      </c>
      <c r="BB17">
        <v>0.00222</v>
      </c>
      <c r="BC17">
        <v>0.00125</v>
      </c>
      <c r="BD17">
        <v>0.00051</v>
      </c>
      <c r="BE17">
        <v>0.00011</v>
      </c>
    </row>
    <row r="18" spans="1:57" ht="12.75">
      <c r="A18" s="16" t="s">
        <v>43</v>
      </c>
      <c r="B18" s="5">
        <f ca="1" t="shared" si="1"/>
        <v>0.9535694741273918</v>
      </c>
      <c r="C18" s="5">
        <f t="shared" si="2"/>
        <v>0.9561148180035846</v>
      </c>
      <c r="D18">
        <v>56</v>
      </c>
      <c r="E18" s="19">
        <f t="shared" si="21"/>
        <v>30</v>
      </c>
      <c r="F18" s="20">
        <f t="shared" si="3"/>
        <v>0.003969369834155808</v>
      </c>
      <c r="G18" s="21">
        <f t="shared" si="18"/>
        <v>0.019651835661626423</v>
      </c>
      <c r="H18" s="22">
        <f t="shared" si="4"/>
        <v>-1.9548685132288692</v>
      </c>
      <c r="I18" s="23">
        <f t="shared" si="5"/>
        <v>0.018584129340846304</v>
      </c>
      <c r="J18" s="23">
        <f t="shared" si="6"/>
        <v>0.018245060771634642</v>
      </c>
      <c r="K18" s="23">
        <f t="shared" si="7"/>
        <v>0.018155748542272317</v>
      </c>
      <c r="L18" s="23">
        <f t="shared" si="8"/>
        <v>0.017831995319249054</v>
      </c>
      <c r="M18" s="23">
        <f t="shared" si="22"/>
        <v>0.018245060771634642</v>
      </c>
      <c r="N18" s="24">
        <f t="shared" si="15"/>
        <v>96014.80595922898</v>
      </c>
      <c r="O18" s="25">
        <f t="shared" si="9"/>
        <v>1751.7959697028418</v>
      </c>
      <c r="P18" s="25">
        <f t="shared" si="19"/>
        <v>475694.5398718878</v>
      </c>
      <c r="Q18" s="26">
        <f t="shared" si="10"/>
        <v>3646890.2347230418</v>
      </c>
      <c r="R18" s="6">
        <f t="shared" si="11"/>
        <v>37.98258193920248</v>
      </c>
      <c r="S18" s="16" t="s">
        <v>41</v>
      </c>
      <c r="T18" s="5">
        <f t="shared" si="20"/>
        <v>0.978670269816371</v>
      </c>
      <c r="U18" s="27">
        <f t="shared" si="12"/>
        <v>0.003682606847189435</v>
      </c>
      <c r="V18" s="23">
        <v>0.28023</v>
      </c>
      <c r="X18" s="29">
        <f aca="true" t="shared" si="24" ref="X18:X27">+X17+5</f>
        <v>87.5</v>
      </c>
      <c r="Y18" s="31"/>
      <c r="Z18" s="31">
        <f>TREND(Y12:Y17,X12:X17,X18)</f>
        <v>-0.2932630742604827</v>
      </c>
      <c r="AA18" s="31">
        <f t="shared" si="17"/>
        <v>0.5727947991983824</v>
      </c>
      <c r="AB18" s="29">
        <v>85</v>
      </c>
      <c r="AC18" s="4">
        <v>1</v>
      </c>
      <c r="AD18">
        <f aca="true" t="shared" si="25" ref="AD18:AD27">(AC18+AC19)*2.5</f>
        <v>3.330950814778486</v>
      </c>
      <c r="AF18" s="19">
        <f t="shared" si="23"/>
        <v>30</v>
      </c>
      <c r="AG18" s="23">
        <f t="shared" si="13"/>
        <v>0.018245060771634642</v>
      </c>
      <c r="AH18" s="23">
        <f t="shared" si="14"/>
        <v>0.0036364274048081894</v>
      </c>
      <c r="AQ18">
        <f>SUMPRODUCT(AS18:BE18,AS29:BE29)</f>
        <v>0.0025</v>
      </c>
      <c r="AR18" s="19">
        <v>30</v>
      </c>
      <c r="AS18">
        <v>0.02351</v>
      </c>
      <c r="AT18">
        <v>0.01938</v>
      </c>
      <c r="AU18">
        <v>0.01602</v>
      </c>
      <c r="AV18">
        <v>0.0132</v>
      </c>
      <c r="AW18">
        <v>0.0108</v>
      </c>
      <c r="AX18">
        <v>0.00872</v>
      </c>
      <c r="AY18">
        <v>0.00696</v>
      </c>
      <c r="AZ18">
        <v>0.0053</v>
      </c>
      <c r="BA18">
        <v>0.00382</v>
      </c>
      <c r="BB18">
        <v>0.0025</v>
      </c>
      <c r="BC18">
        <v>0.00141</v>
      </c>
      <c r="BD18">
        <v>0.00058</v>
      </c>
      <c r="BE18">
        <v>0.00012</v>
      </c>
    </row>
    <row r="19" spans="1:57" ht="12.75">
      <c r="A19" s="16" t="s">
        <v>44</v>
      </c>
      <c r="B19" s="5">
        <f ca="1" t="shared" si="1"/>
        <v>0.9324711950820225</v>
      </c>
      <c r="C19" s="5">
        <f t="shared" si="2"/>
        <v>0.9356195433498649</v>
      </c>
      <c r="D19">
        <v>57</v>
      </c>
      <c r="E19" s="19">
        <f t="shared" si="21"/>
        <v>35</v>
      </c>
      <c r="F19" s="20">
        <f t="shared" si="3"/>
        <v>0.005311796505953871</v>
      </c>
      <c r="G19" s="21">
        <f t="shared" si="18"/>
        <v>0.02621091491412263</v>
      </c>
      <c r="H19" s="22">
        <f t="shared" si="4"/>
        <v>-1.8075094056588816</v>
      </c>
      <c r="I19" s="23">
        <f t="shared" si="5"/>
        <v>0.025085613744271682</v>
      </c>
      <c r="J19" s="23">
        <f t="shared" si="6"/>
        <v>0.024471725490949867</v>
      </c>
      <c r="K19" s="23">
        <f t="shared" si="7"/>
        <v>0.024547170481087625</v>
      </c>
      <c r="L19" s="23">
        <f t="shared" si="8"/>
        <v>0.023959043749602303</v>
      </c>
      <c r="M19" s="23">
        <f t="shared" si="22"/>
        <v>0.024471725490949867</v>
      </c>
      <c r="N19" s="24">
        <f t="shared" si="15"/>
        <v>94263.00998952614</v>
      </c>
      <c r="O19" s="25">
        <f t="shared" si="9"/>
        <v>2306.778504414353</v>
      </c>
      <c r="P19" s="25">
        <f t="shared" si="19"/>
        <v>465548.10368659487</v>
      </c>
      <c r="Q19" s="26">
        <f t="shared" si="10"/>
        <v>3171195.694851154</v>
      </c>
      <c r="R19" s="6">
        <f t="shared" si="11"/>
        <v>33.641994831307805</v>
      </c>
      <c r="S19" s="16" t="s">
        <v>42</v>
      </c>
      <c r="T19" s="5">
        <f t="shared" si="20"/>
        <v>0.9700382320613216</v>
      </c>
      <c r="U19" s="27">
        <f t="shared" si="12"/>
        <v>0.004954973473519435</v>
      </c>
      <c r="V19" s="23">
        <v>0.26073</v>
      </c>
      <c r="X19" s="29">
        <f t="shared" si="24"/>
        <v>92.5</v>
      </c>
      <c r="Y19" s="31"/>
      <c r="Z19" s="31">
        <f>TREND(Y12:Y17,X12:X17,X19)</f>
        <v>-0.697438787991115</v>
      </c>
      <c r="AA19" s="31">
        <f t="shared" si="17"/>
        <v>0.6676196740886056</v>
      </c>
      <c r="AB19" s="29">
        <v>90</v>
      </c>
      <c r="AC19" s="4">
        <f aca="true" t="shared" si="26" ref="AC19:AC27">AC18*(1-AA19)</f>
        <v>0.33238032591139444</v>
      </c>
      <c r="AD19">
        <f t="shared" si="25"/>
        <v>1.0382211150010552</v>
      </c>
      <c r="AF19" s="19">
        <f t="shared" si="23"/>
        <v>35</v>
      </c>
      <c r="AG19" s="23">
        <f t="shared" si="13"/>
        <v>0.024471725490949867</v>
      </c>
      <c r="AH19" s="23">
        <f t="shared" si="14"/>
        <v>0.005377860220790775</v>
      </c>
      <c r="AQ19">
        <f>SUMPRODUCT(AS19:BE19,AS29:BE29)</f>
        <v>0.00316</v>
      </c>
      <c r="AR19" s="19">
        <v>35</v>
      </c>
      <c r="AS19">
        <v>0.02765</v>
      </c>
      <c r="AT19">
        <v>0.0228</v>
      </c>
      <c r="AU19">
        <v>0.01887</v>
      </c>
      <c r="AV19">
        <v>0.01559</v>
      </c>
      <c r="AW19">
        <v>0.01279</v>
      </c>
      <c r="AX19">
        <v>0.01037</v>
      </c>
      <c r="AY19">
        <v>0.00836</v>
      </c>
      <c r="AZ19">
        <v>0.00643</v>
      </c>
      <c r="BA19">
        <v>0.00471</v>
      </c>
      <c r="BB19">
        <v>0.00316</v>
      </c>
      <c r="BC19">
        <v>0.00183</v>
      </c>
      <c r="BD19">
        <v>0.00079</v>
      </c>
      <c r="BE19">
        <v>0.00018</v>
      </c>
    </row>
    <row r="20" spans="1:57" ht="12.75">
      <c r="A20" s="16" t="s">
        <v>45</v>
      </c>
      <c r="B20" s="5">
        <f ca="1" t="shared" si="1"/>
        <v>0.9039627596519776</v>
      </c>
      <c r="C20" s="5">
        <f t="shared" si="2"/>
        <v>0.9076815830845445</v>
      </c>
      <c r="D20">
        <v>58</v>
      </c>
      <c r="E20" s="19">
        <f t="shared" si="21"/>
        <v>40</v>
      </c>
      <c r="F20" s="20">
        <f t="shared" si="3"/>
        <v>0.00771530506328249</v>
      </c>
      <c r="G20" s="21">
        <f t="shared" si="18"/>
        <v>0.037846531476589916</v>
      </c>
      <c r="H20" s="22">
        <f t="shared" si="4"/>
        <v>-1.617817315805343</v>
      </c>
      <c r="I20" s="23">
        <f t="shared" si="5"/>
        <v>0.03690288796321663</v>
      </c>
      <c r="J20" s="23">
        <f t="shared" si="6"/>
        <v>0.03558953147069036</v>
      </c>
      <c r="K20" s="23">
        <f t="shared" si="7"/>
        <v>0.036184406712987206</v>
      </c>
      <c r="L20" s="23">
        <f t="shared" si="8"/>
        <v>0.03492081764458546</v>
      </c>
      <c r="M20" s="23">
        <f t="shared" si="22"/>
        <v>0.03558953147069036</v>
      </c>
      <c r="N20" s="24">
        <f t="shared" si="15"/>
        <v>91956.23148511178</v>
      </c>
      <c r="O20" s="25">
        <f t="shared" si="9"/>
        <v>3272.679194365468</v>
      </c>
      <c r="P20" s="25">
        <f t="shared" si="19"/>
        <v>451599.4594396453</v>
      </c>
      <c r="Q20" s="26">
        <f t="shared" si="10"/>
        <v>2705647.591164559</v>
      </c>
      <c r="R20" s="6">
        <f t="shared" si="11"/>
        <v>29.423210884872095</v>
      </c>
      <c r="S20" s="16" t="s">
        <v>43</v>
      </c>
      <c r="T20" s="5">
        <f t="shared" si="20"/>
        <v>0.9561148180035846</v>
      </c>
      <c r="U20" s="27">
        <f t="shared" si="12"/>
        <v>0.007246862514907085</v>
      </c>
      <c r="V20" s="23">
        <v>0.23626</v>
      </c>
      <c r="X20" s="29">
        <f t="shared" si="24"/>
        <v>97.5</v>
      </c>
      <c r="Y20" s="31"/>
      <c r="Z20" s="31">
        <f>TREND(Y12:Y17,X12:X17,X20)</f>
        <v>-1.1016145017217482</v>
      </c>
      <c r="AA20" s="31">
        <f t="shared" si="17"/>
        <v>0.7505624923446005</v>
      </c>
      <c r="AB20" s="29">
        <v>95</v>
      </c>
      <c r="AC20" s="4">
        <f t="shared" si="26"/>
        <v>0.08290812008902763</v>
      </c>
      <c r="AD20">
        <f t="shared" si="25"/>
        <v>0.2449030257700997</v>
      </c>
      <c r="AF20" s="19">
        <f t="shared" si="23"/>
        <v>40</v>
      </c>
      <c r="AG20" s="23">
        <f t="shared" si="13"/>
        <v>0.03558953147069036</v>
      </c>
      <c r="AH20" s="23">
        <f t="shared" si="14"/>
        <v>0.008642838226092261</v>
      </c>
      <c r="AQ20">
        <f>SUMPRODUCT(AS20:BE20,AS29:BE29)</f>
        <v>0.00443</v>
      </c>
      <c r="AR20" s="19">
        <v>40</v>
      </c>
      <c r="AS20">
        <v>0.03346</v>
      </c>
      <c r="AT20">
        <v>0.02765</v>
      </c>
      <c r="AU20">
        <v>0.02296</v>
      </c>
      <c r="AV20">
        <v>0.01906</v>
      </c>
      <c r="AW20">
        <v>0.01574</v>
      </c>
      <c r="AX20">
        <v>0.01288</v>
      </c>
      <c r="AY20">
        <v>0.01051</v>
      </c>
      <c r="AZ20">
        <v>0.0083</v>
      </c>
      <c r="BA20">
        <v>0.00627</v>
      </c>
      <c r="BB20">
        <v>0.00443</v>
      </c>
      <c r="BC20">
        <v>0.00277</v>
      </c>
      <c r="BD20">
        <v>0.00132</v>
      </c>
      <c r="BE20">
        <v>0.00037</v>
      </c>
    </row>
    <row r="21" spans="1:57" ht="12.75">
      <c r="A21" s="16" t="s">
        <v>46</v>
      </c>
      <c r="B21" s="5">
        <f ca="1" t="shared" si="1"/>
        <v>0.8664639164528857</v>
      </c>
      <c r="C21" s="5">
        <f t="shared" si="2"/>
        <v>0.8707441780572883</v>
      </c>
      <c r="D21">
        <v>59</v>
      </c>
      <c r="E21" s="19">
        <f t="shared" si="21"/>
        <v>45</v>
      </c>
      <c r="F21" s="20">
        <f t="shared" si="3"/>
        <v>0.011385541987589284</v>
      </c>
      <c r="G21" s="21">
        <f t="shared" si="18"/>
        <v>0.055352173693711204</v>
      </c>
      <c r="H21" s="22">
        <f t="shared" si="4"/>
        <v>-1.4185481286417438</v>
      </c>
      <c r="I21" s="23">
        <f t="shared" si="5"/>
        <v>0.055394452740785374</v>
      </c>
      <c r="J21" s="23">
        <f t="shared" si="6"/>
        <v>0.0524869659840734</v>
      </c>
      <c r="K21" s="23">
        <f t="shared" si="7"/>
        <v>0.054444111898340794</v>
      </c>
      <c r="L21" s="23">
        <f t="shared" si="8"/>
        <v>0.0516329991167799</v>
      </c>
      <c r="M21" s="23">
        <f t="shared" si="22"/>
        <v>0.0524869659840734</v>
      </c>
      <c r="N21" s="24">
        <f t="shared" si="15"/>
        <v>88683.55229074632</v>
      </c>
      <c r="O21" s="25">
        <f t="shared" si="9"/>
        <v>4654.730592431195</v>
      </c>
      <c r="P21" s="25">
        <f t="shared" si="19"/>
        <v>431780.93497265363</v>
      </c>
      <c r="Q21" s="26">
        <f t="shared" si="10"/>
        <v>2254048.1317249136</v>
      </c>
      <c r="R21" s="6">
        <f t="shared" si="11"/>
        <v>25.41675511976658</v>
      </c>
      <c r="S21" s="16" t="s">
        <v>44</v>
      </c>
      <c r="T21" s="5">
        <f t="shared" si="20"/>
        <v>0.9356195433498649</v>
      </c>
      <c r="U21" s="27">
        <f t="shared" si="12"/>
        <v>0.010780305973273223</v>
      </c>
      <c r="V21" s="23">
        <v>0.20794</v>
      </c>
      <c r="X21" s="29">
        <f t="shared" si="24"/>
        <v>102.5</v>
      </c>
      <c r="Y21" s="31"/>
      <c r="Z21" s="31">
        <f>TREND(Y12:Y17,X12:X17,X21)</f>
        <v>-1.5057902154523815</v>
      </c>
      <c r="AA21" s="31">
        <f t="shared" si="17"/>
        <v>0.8184364788051149</v>
      </c>
      <c r="AB21" s="29">
        <v>100</v>
      </c>
      <c r="AC21" s="4">
        <f t="shared" si="26"/>
        <v>0.015053090219012244</v>
      </c>
      <c r="AD21">
        <f t="shared" si="25"/>
        <v>0.04248677060504487</v>
      </c>
      <c r="AF21" s="19">
        <f t="shared" si="23"/>
        <v>45</v>
      </c>
      <c r="AG21" s="23">
        <f t="shared" si="13"/>
        <v>0.0524869659840734</v>
      </c>
      <c r="AH21" s="23">
        <f t="shared" si="14"/>
        <v>0.014274329576748455</v>
      </c>
      <c r="AQ21">
        <f>SUMPRODUCT(AS21:BE21,AS29:BE29)</f>
        <v>0.00671</v>
      </c>
      <c r="AR21" s="19">
        <v>45</v>
      </c>
      <c r="AS21">
        <v>0.03848</v>
      </c>
      <c r="AT21">
        <v>0.03209</v>
      </c>
      <c r="AU21">
        <v>0.02694</v>
      </c>
      <c r="AV21">
        <v>0.02266</v>
      </c>
      <c r="AW21">
        <v>0.01904</v>
      </c>
      <c r="AX21">
        <v>0.01591</v>
      </c>
      <c r="AY21">
        <v>0.01337</v>
      </c>
      <c r="AZ21">
        <v>0.011</v>
      </c>
      <c r="BA21">
        <v>0.00877</v>
      </c>
      <c r="BB21">
        <v>0.00671</v>
      </c>
      <c r="BC21">
        <v>0.00461</v>
      </c>
      <c r="BD21">
        <v>0.00255</v>
      </c>
      <c r="BE21">
        <v>0.00092</v>
      </c>
    </row>
    <row r="22" spans="1:57" ht="12.75">
      <c r="A22" s="16" t="s">
        <v>47</v>
      </c>
      <c r="B22" s="5">
        <f ca="1" t="shared" si="1"/>
        <v>0.8167965269153582</v>
      </c>
      <c r="C22" s="5">
        <f t="shared" si="2"/>
        <v>0.8217736575435031</v>
      </c>
      <c r="D22">
        <v>60</v>
      </c>
      <c r="E22" s="19">
        <f t="shared" si="21"/>
        <v>50</v>
      </c>
      <c r="F22" s="20">
        <f t="shared" si="3"/>
        <v>0.016757600730205064</v>
      </c>
      <c r="G22" s="21">
        <f t="shared" si="18"/>
        <v>0.08041893273617041</v>
      </c>
      <c r="H22" s="22">
        <f t="shared" si="4"/>
        <v>-1.2183342872040632</v>
      </c>
      <c r="I22" s="23">
        <f t="shared" si="5"/>
        <v>0.08334472194025508</v>
      </c>
      <c r="J22" s="23">
        <f t="shared" si="6"/>
        <v>0.07693278072282096</v>
      </c>
      <c r="K22" s="23">
        <f t="shared" si="7"/>
        <v>0.08211895009481228</v>
      </c>
      <c r="L22" s="23">
        <f t="shared" si="8"/>
        <v>0.0758871749613268</v>
      </c>
      <c r="M22" s="23">
        <f t="shared" si="22"/>
        <v>0.07693278072282096</v>
      </c>
      <c r="N22" s="24">
        <f t="shared" si="15"/>
        <v>84028.82169831512</v>
      </c>
      <c r="O22" s="25">
        <f t="shared" si="9"/>
        <v>6464.570914113501</v>
      </c>
      <c r="P22" s="25">
        <f t="shared" si="19"/>
        <v>403982.6812062919</v>
      </c>
      <c r="Q22" s="26">
        <f t="shared" si="10"/>
        <v>1822267.19675226</v>
      </c>
      <c r="R22" s="6">
        <f t="shared" si="11"/>
        <v>21.68621622822064</v>
      </c>
      <c r="S22" s="16" t="s">
        <v>45</v>
      </c>
      <c r="T22" s="5">
        <f t="shared" si="20"/>
        <v>0.9076815830845445</v>
      </c>
      <c r="U22" s="27">
        <f t="shared" si="12"/>
        <v>0.01600209913655283</v>
      </c>
      <c r="V22" s="23">
        <v>0.17804</v>
      </c>
      <c r="X22" s="29">
        <f t="shared" si="24"/>
        <v>107.5</v>
      </c>
      <c r="Y22" s="31"/>
      <c r="Z22" s="31">
        <f>TREND(Y12:Y17,X12:X17,X22)</f>
        <v>-1.9099659291830138</v>
      </c>
      <c r="AA22" s="31">
        <f t="shared" si="17"/>
        <v>0.8710153201265336</v>
      </c>
      <c r="AB22" s="29">
        <v>105</v>
      </c>
      <c r="AC22" s="4">
        <f t="shared" si="26"/>
        <v>0.0019416180230057026</v>
      </c>
      <c r="AD22">
        <f t="shared" si="25"/>
        <v>0.005290707712371535</v>
      </c>
      <c r="AF22" s="19">
        <f t="shared" si="23"/>
        <v>50</v>
      </c>
      <c r="AG22" s="23">
        <f t="shared" si="13"/>
        <v>0.07693278072282096</v>
      </c>
      <c r="AH22" s="23">
        <f t="shared" si="14"/>
        <v>0.022440035407517493</v>
      </c>
      <c r="AQ22">
        <f>SUMPRODUCT(AS22:BE22,AS29:BE29)</f>
        <v>0.01028</v>
      </c>
      <c r="AR22" s="19">
        <v>50</v>
      </c>
      <c r="AS22">
        <v>0.04859</v>
      </c>
      <c r="AT22">
        <v>0.04077</v>
      </c>
      <c r="AU22">
        <v>0.03452</v>
      </c>
      <c r="AV22">
        <v>0.02935</v>
      </c>
      <c r="AW22">
        <v>0.02499</v>
      </c>
      <c r="AX22">
        <v>0.02124</v>
      </c>
      <c r="AY22">
        <v>0.0182</v>
      </c>
      <c r="AZ22">
        <v>0.01544</v>
      </c>
      <c r="BA22">
        <v>0.01278</v>
      </c>
      <c r="BB22">
        <v>0.01028</v>
      </c>
      <c r="BC22">
        <v>0.00758</v>
      </c>
      <c r="BD22">
        <v>0.00467</v>
      </c>
      <c r="BE22">
        <v>0.00202</v>
      </c>
    </row>
    <row r="23" spans="1:57" ht="12.75">
      <c r="A23" s="16" t="s">
        <v>48</v>
      </c>
      <c r="B23" s="5">
        <f ca="1" t="shared" si="1"/>
        <v>0.7562655559389354</v>
      </c>
      <c r="C23" s="5">
        <f t="shared" si="2"/>
        <v>0.7619772109917802</v>
      </c>
      <c r="D23">
        <v>61</v>
      </c>
      <c r="E23" s="19">
        <f t="shared" si="21"/>
        <v>55</v>
      </c>
      <c r="F23" s="20">
        <f t="shared" si="3"/>
        <v>0.023958172145655487</v>
      </c>
      <c r="G23" s="21">
        <f t="shared" si="18"/>
        <v>0.11302139559854689</v>
      </c>
      <c r="H23" s="22">
        <f t="shared" si="4"/>
        <v>-1.0301218591714842</v>
      </c>
      <c r="I23" s="23">
        <f t="shared" si="5"/>
        <v>0.12231728040739394</v>
      </c>
      <c r="J23" s="23">
        <f t="shared" si="6"/>
        <v>0.10898636467843884</v>
      </c>
      <c r="K23" s="23">
        <f t="shared" si="7"/>
        <v>0.12078621437299619</v>
      </c>
      <c r="L23" s="23">
        <f t="shared" si="8"/>
        <v>0.10776918276119937</v>
      </c>
      <c r="M23" s="23">
        <f t="shared" si="22"/>
        <v>0.10898636467843884</v>
      </c>
      <c r="N23" s="24">
        <f t="shared" si="15"/>
        <v>77564.25078420162</v>
      </c>
      <c r="O23" s="25">
        <f t="shared" si="9"/>
        <v>8453.445721976881</v>
      </c>
      <c r="P23" s="25">
        <f t="shared" si="19"/>
        <v>366687.6396160659</v>
      </c>
      <c r="Q23" s="26">
        <f t="shared" si="10"/>
        <v>1418284.5155459682</v>
      </c>
      <c r="R23" s="6">
        <f t="shared" si="11"/>
        <v>18.2852860848473</v>
      </c>
      <c r="S23" s="16" t="s">
        <v>46</v>
      </c>
      <c r="T23" s="5">
        <f t="shared" si="20"/>
        <v>0.8707441780572883</v>
      </c>
      <c r="U23" s="27">
        <f t="shared" si="12"/>
        <v>0.023053533331060513</v>
      </c>
      <c r="V23" s="23">
        <v>0.15136</v>
      </c>
      <c r="X23" s="29">
        <f t="shared" si="24"/>
        <v>112.5</v>
      </c>
      <c r="Y23" s="31"/>
      <c r="Z23" s="31">
        <f>TREND(Y12:Y17,X12:X17,X23)</f>
        <v>-2.314141642913646</v>
      </c>
      <c r="AA23" s="31">
        <f t="shared" si="17"/>
        <v>0.9100414912339333</v>
      </c>
      <c r="AB23" s="29">
        <v>110</v>
      </c>
      <c r="AC23" s="4">
        <f t="shared" si="26"/>
        <v>0.00017466506194291158</v>
      </c>
      <c r="AD23">
        <f t="shared" si="25"/>
        <v>0.000463692555392523</v>
      </c>
      <c r="AF23" s="19">
        <f t="shared" si="23"/>
        <v>55</v>
      </c>
      <c r="AG23" s="23">
        <f t="shared" si="13"/>
        <v>0.10898636467843884</v>
      </c>
      <c r="AH23" s="23">
        <f t="shared" si="14"/>
        <v>0.03398429611690803</v>
      </c>
      <c r="AQ23">
        <f>SUMPRODUCT(AS23:BE23,AS29:BE29)</f>
        <v>0.01603</v>
      </c>
      <c r="AR23" s="19">
        <v>55</v>
      </c>
      <c r="AS23">
        <v>0.05855</v>
      </c>
      <c r="AT23">
        <v>0.04982</v>
      </c>
      <c r="AU23">
        <v>0.04285</v>
      </c>
      <c r="AV23">
        <v>0.03711</v>
      </c>
      <c r="AW23">
        <v>0.03228</v>
      </c>
      <c r="AX23">
        <v>0.02813</v>
      </c>
      <c r="AY23">
        <v>0.02484</v>
      </c>
      <c r="AZ23">
        <v>0.02182</v>
      </c>
      <c r="BA23">
        <v>0.01887</v>
      </c>
      <c r="BB23">
        <v>0.01603</v>
      </c>
      <c r="BC23">
        <v>0.01264</v>
      </c>
      <c r="BD23">
        <v>0.0087</v>
      </c>
      <c r="BE23">
        <v>0.00458</v>
      </c>
    </row>
    <row r="24" spans="1:57" ht="12.75">
      <c r="A24" s="16" t="s">
        <v>49</v>
      </c>
      <c r="B24" s="5">
        <f ca="1" t="shared" si="1"/>
        <v>0.6836382729242845</v>
      </c>
      <c r="C24" s="5">
        <f t="shared" si="2"/>
        <v>0.6898000185491701</v>
      </c>
      <c r="D24">
        <v>62</v>
      </c>
      <c r="E24" s="19">
        <f t="shared" si="21"/>
        <v>60</v>
      </c>
      <c r="F24" s="20">
        <f t="shared" si="3"/>
        <v>0.033995946875408016</v>
      </c>
      <c r="G24" s="21">
        <f t="shared" si="18"/>
        <v>0.15666481274843613</v>
      </c>
      <c r="H24" s="22">
        <f t="shared" si="4"/>
        <v>-0.8416279594638475</v>
      </c>
      <c r="I24" s="23">
        <f t="shared" si="5"/>
        <v>0.1792516577847781</v>
      </c>
      <c r="J24" s="23">
        <f t="shared" si="6"/>
        <v>0.15200458409488438</v>
      </c>
      <c r="K24" s="23">
        <f t="shared" si="7"/>
        <v>0.17729084035981654</v>
      </c>
      <c r="L24" s="23">
        <f t="shared" si="8"/>
        <v>0.15059221925622981</v>
      </c>
      <c r="M24" s="23">
        <f t="shared" si="22"/>
        <v>0.15200458409488438</v>
      </c>
      <c r="N24" s="24">
        <f t="shared" si="15"/>
        <v>69110.80506222474</v>
      </c>
      <c r="O24" s="25">
        <f t="shared" si="9"/>
        <v>10505.159179946102</v>
      </c>
      <c r="P24" s="25">
        <f t="shared" si="19"/>
        <v>319291.12736125843</v>
      </c>
      <c r="Q24" s="26">
        <f t="shared" si="10"/>
        <v>1051596.8759299023</v>
      </c>
      <c r="R24" s="6">
        <f t="shared" si="11"/>
        <v>15.216099349198501</v>
      </c>
      <c r="S24" s="16" t="s">
        <v>47</v>
      </c>
      <c r="T24" s="5">
        <f t="shared" si="20"/>
        <v>0.8217736575435031</v>
      </c>
      <c r="U24" s="27">
        <f t="shared" si="12"/>
        <v>0.03290150674328058</v>
      </c>
      <c r="V24" s="23">
        <v>0.13217</v>
      </c>
      <c r="X24" s="29">
        <f t="shared" si="24"/>
        <v>117.5</v>
      </c>
      <c r="Y24" s="31"/>
      <c r="Z24" s="31">
        <f>TREND(Y12:Y17,X12:X17,X24)</f>
        <v>-2.7183173566442784</v>
      </c>
      <c r="AA24" s="31">
        <f t="shared" si="17"/>
        <v>0.9380988957160107</v>
      </c>
      <c r="AB24" s="29">
        <v>115</v>
      </c>
      <c r="AC24" s="4">
        <f t="shared" si="26"/>
        <v>1.0811960214097623E-05</v>
      </c>
      <c r="AD24">
        <f t="shared" si="25"/>
        <v>2.817026269178127E-05</v>
      </c>
      <c r="AF24" s="19">
        <f t="shared" si="23"/>
        <v>60</v>
      </c>
      <c r="AG24" s="23">
        <f t="shared" si="13"/>
        <v>0.15200458409488438</v>
      </c>
      <c r="AH24" s="23">
        <f t="shared" si="14"/>
        <v>0.052034783163989705</v>
      </c>
      <c r="AQ24">
        <f>SUMPRODUCT(AS24:BE24,AS29:BE29)</f>
        <v>0.02478</v>
      </c>
      <c r="AR24" s="19">
        <v>60</v>
      </c>
      <c r="AS24">
        <v>0.08016</v>
      </c>
      <c r="AT24">
        <v>0.0685</v>
      </c>
      <c r="AU24">
        <v>0.05931</v>
      </c>
      <c r="AV24">
        <v>0.05182</v>
      </c>
      <c r="AW24">
        <v>0.04555</v>
      </c>
      <c r="AX24">
        <v>0.04021</v>
      </c>
      <c r="AY24">
        <v>0.03604</v>
      </c>
      <c r="AZ24">
        <v>0.03221</v>
      </c>
      <c r="BA24">
        <v>0.02843</v>
      </c>
      <c r="BB24">
        <v>0.02478</v>
      </c>
      <c r="BC24">
        <v>0.02022</v>
      </c>
      <c r="BD24">
        <v>0.01472</v>
      </c>
      <c r="BE24">
        <v>0.00853</v>
      </c>
    </row>
    <row r="25" spans="1:57" ht="12.75">
      <c r="A25" s="16" t="s">
        <v>50</v>
      </c>
      <c r="B25" s="5">
        <f ca="1" t="shared" si="1"/>
        <v>0.5824680586539862</v>
      </c>
      <c r="C25" s="5">
        <f t="shared" si="2"/>
        <v>0.5884609975527288</v>
      </c>
      <c r="D25">
        <v>63</v>
      </c>
      <c r="E25" s="19">
        <f t="shared" si="21"/>
        <v>65</v>
      </c>
      <c r="F25" s="20">
        <f t="shared" si="3"/>
        <v>0.04809697527340213</v>
      </c>
      <c r="G25" s="21">
        <f t="shared" si="18"/>
        <v>0.21467217110339215</v>
      </c>
      <c r="H25" s="22">
        <f t="shared" si="4"/>
        <v>-0.6484945840701253</v>
      </c>
      <c r="I25" s="23">
        <f t="shared" si="5"/>
        <v>0.2644597203990964</v>
      </c>
      <c r="J25" s="23">
        <f t="shared" si="6"/>
        <v>0.2091483944744606</v>
      </c>
      <c r="K25" s="23">
        <f t="shared" si="7"/>
        <v>0.2617789219025307</v>
      </c>
      <c r="L25" s="23">
        <f t="shared" si="8"/>
        <v>0.20746813673810321</v>
      </c>
      <c r="M25" s="23">
        <f t="shared" si="22"/>
        <v>0.2091483944744606</v>
      </c>
      <c r="N25" s="24">
        <f t="shared" si="15"/>
        <v>58605.64588227864</v>
      </c>
      <c r="O25" s="25">
        <f t="shared" si="9"/>
        <v>12257.276743417358</v>
      </c>
      <c r="P25" s="25">
        <f t="shared" si="19"/>
        <v>262385.0375528498</v>
      </c>
      <c r="Q25" s="26">
        <f t="shared" si="10"/>
        <v>732305.7485686438</v>
      </c>
      <c r="R25" s="6">
        <f t="shared" si="11"/>
        <v>12.49548123809827</v>
      </c>
      <c r="S25" s="16" t="s">
        <v>48</v>
      </c>
      <c r="T25" s="5">
        <f t="shared" si="20"/>
        <v>0.7619772109917802</v>
      </c>
      <c r="U25" s="27">
        <f t="shared" si="12"/>
        <v>0.04671484646279988</v>
      </c>
      <c r="V25" s="23">
        <v>0.12243</v>
      </c>
      <c r="X25" s="29">
        <f t="shared" si="24"/>
        <v>122.5</v>
      </c>
      <c r="Y25" s="31"/>
      <c r="Z25" s="31">
        <f>TREND(Y12:Y17,X12:X17,X25)</f>
        <v>-3.1224930703749108</v>
      </c>
      <c r="AA25" s="31">
        <f t="shared" si="17"/>
        <v>0.9578110857252211</v>
      </c>
      <c r="AB25" s="29">
        <v>120</v>
      </c>
      <c r="AC25" s="4">
        <f t="shared" si="26"/>
        <v>4.5614486261488463E-07</v>
      </c>
      <c r="AD25">
        <f t="shared" si="25"/>
        <v>1.1729341771755957E-06</v>
      </c>
      <c r="AF25" s="19">
        <f t="shared" si="23"/>
        <v>65</v>
      </c>
      <c r="AG25" s="23">
        <f t="shared" si="13"/>
        <v>0.2091483944744606</v>
      </c>
      <c r="AH25" s="23">
        <f t="shared" si="14"/>
        <v>0.08624894615696918</v>
      </c>
      <c r="AQ25">
        <f>SUMPRODUCT(AS25:BE25,AS29:BE29)</f>
        <v>0.03834</v>
      </c>
      <c r="AR25" s="19">
        <v>65</v>
      </c>
      <c r="AS25">
        <v>0.10708</v>
      </c>
      <c r="AT25">
        <v>0.09222</v>
      </c>
      <c r="AU25">
        <v>0.08067</v>
      </c>
      <c r="AV25">
        <v>0.07134</v>
      </c>
      <c r="AW25">
        <v>0.06361</v>
      </c>
      <c r="AX25">
        <v>0.05706</v>
      </c>
      <c r="AY25">
        <v>0.05203</v>
      </c>
      <c r="AZ25">
        <v>0.0474</v>
      </c>
      <c r="BA25">
        <v>0.04281</v>
      </c>
      <c r="BB25">
        <v>0.03834</v>
      </c>
      <c r="BC25">
        <v>0.03248</v>
      </c>
      <c r="BD25">
        <v>0.02511</v>
      </c>
      <c r="BE25">
        <v>0.01618</v>
      </c>
    </row>
    <row r="26" spans="1:57" ht="12.75">
      <c r="A26" s="13" t="s">
        <v>51</v>
      </c>
      <c r="B26" s="5">
        <f ca="1" t="shared" si="1"/>
        <v>0.3820116434246679</v>
      </c>
      <c r="C26" s="5">
        <f t="shared" si="2"/>
        <v>0.3855365300984748</v>
      </c>
      <c r="D26">
        <v>64</v>
      </c>
      <c r="E26" s="19">
        <f t="shared" si="21"/>
        <v>70</v>
      </c>
      <c r="F26" s="20">
        <f t="shared" si="3"/>
        <v>0.06531674219870502</v>
      </c>
      <c r="G26" s="21">
        <f t="shared" si="18"/>
        <v>0.28074099328587104</v>
      </c>
      <c r="H26" s="22">
        <f t="shared" si="4"/>
        <v>-0.47039450626189816</v>
      </c>
      <c r="I26" s="23">
        <f t="shared" si="5"/>
        <v>0.3784230165662352</v>
      </c>
      <c r="J26" s="23">
        <f t="shared" si="6"/>
        <v>0.2745332978470702</v>
      </c>
      <c r="K26" s="23">
        <f t="shared" si="7"/>
        <v>0.3748320856655695</v>
      </c>
      <c r="L26" s="23">
        <f t="shared" si="8"/>
        <v>0.27263844768658396</v>
      </c>
      <c r="M26" s="23">
        <f t="shared" si="22"/>
        <v>0.2745332978470702</v>
      </c>
      <c r="N26" s="24">
        <f t="shared" si="15"/>
        <v>46348.36913886128</v>
      </c>
      <c r="O26" s="25">
        <f t="shared" si="9"/>
        <v>12724.17062952496</v>
      </c>
      <c r="P26" s="25">
        <f t="shared" si="19"/>
        <v>199931.41912049399</v>
      </c>
      <c r="Q26" s="26">
        <f t="shared" si="10"/>
        <v>469920.711015794</v>
      </c>
      <c r="R26" s="6">
        <f t="shared" si="11"/>
        <v>10.138883411580151</v>
      </c>
      <c r="S26" s="16" t="s">
        <v>49</v>
      </c>
      <c r="T26" s="5">
        <f t="shared" si="20"/>
        <v>0.6898000185491701</v>
      </c>
      <c r="U26" s="27">
        <f t="shared" si="12"/>
        <v>0.06364267650126768</v>
      </c>
      <c r="V26" s="23">
        <v>0.11457</v>
      </c>
      <c r="X26" s="29">
        <f t="shared" si="24"/>
        <v>127.5</v>
      </c>
      <c r="Y26" s="31"/>
      <c r="Z26" s="31">
        <f>TREND(Y12:Y17,X12:X17,X26)</f>
        <v>-3.526668784105543</v>
      </c>
      <c r="AA26" s="31">
        <f t="shared" si="17"/>
        <v>0.9714371259589223</v>
      </c>
      <c r="AB26" s="29">
        <v>125</v>
      </c>
      <c r="AC26" s="4">
        <f t="shared" si="26"/>
        <v>1.3028808255353648E-08</v>
      </c>
      <c r="AD26">
        <f t="shared" si="25"/>
        <v>3.319900868463311E-08</v>
      </c>
      <c r="AF26" s="19">
        <f t="shared" si="23"/>
        <v>70</v>
      </c>
      <c r="AG26" s="23">
        <f t="shared" si="13"/>
        <v>0.2745332978470702</v>
      </c>
      <c r="AH26" s="23">
        <f t="shared" si="14"/>
        <v>0.13980422630202227</v>
      </c>
      <c r="AQ26">
        <f>SUMPRODUCT(AS26:BE26,AS29:BE29)</f>
        <v>0.06027</v>
      </c>
      <c r="AR26" s="19">
        <v>70</v>
      </c>
      <c r="AS26">
        <v>0.14919</v>
      </c>
      <c r="AT26">
        <v>0.12924</v>
      </c>
      <c r="AU26">
        <v>0.11403</v>
      </c>
      <c r="AV26">
        <v>0.10194</v>
      </c>
      <c r="AW26">
        <v>0.09202</v>
      </c>
      <c r="AX26">
        <v>0.0837</v>
      </c>
      <c r="AY26">
        <v>0.07747</v>
      </c>
      <c r="AZ26">
        <v>0.07168</v>
      </c>
      <c r="BA26">
        <v>0.06591</v>
      </c>
      <c r="BB26">
        <v>0.06027</v>
      </c>
      <c r="BC26">
        <v>0.05259</v>
      </c>
      <c r="BD26">
        <v>0.04263</v>
      </c>
      <c r="BE26">
        <v>0.02988</v>
      </c>
    </row>
    <row r="27" spans="1:57" ht="12.75">
      <c r="A27" s="13"/>
      <c r="D27">
        <v>65</v>
      </c>
      <c r="E27" s="19">
        <f t="shared" si="21"/>
        <v>75</v>
      </c>
      <c r="F27" s="20">
        <f t="shared" si="3"/>
        <v>0.0895619087703745</v>
      </c>
      <c r="G27" s="21">
        <f t="shared" si="18"/>
        <v>0.3658859366543686</v>
      </c>
      <c r="H27" s="22">
        <f t="shared" si="4"/>
        <v>-0.2749536062757457</v>
      </c>
      <c r="I27" s="23">
        <f t="shared" si="5"/>
        <v>0.5609482200455147</v>
      </c>
      <c r="J27" s="23">
        <f t="shared" si="6"/>
        <v>0.3593637590548381</v>
      </c>
      <c r="K27" s="23">
        <f t="shared" si="7"/>
        <v>0.5560934081108917</v>
      </c>
      <c r="L27" s="23">
        <f t="shared" si="8"/>
        <v>0.35736505611574626</v>
      </c>
      <c r="M27" s="23">
        <f t="shared" si="22"/>
        <v>0.3593637590548381</v>
      </c>
      <c r="N27" s="24">
        <f t="shared" si="15"/>
        <v>33624.19850933632</v>
      </c>
      <c r="O27" s="25">
        <f t="shared" si="9"/>
        <v>12083.318371521182</v>
      </c>
      <c r="P27" s="25">
        <f t="shared" si="19"/>
        <v>137912.69661787865</v>
      </c>
      <c r="Q27" s="26">
        <f t="shared" si="10"/>
        <v>269989.29189530003</v>
      </c>
      <c r="R27" s="6">
        <f t="shared" si="11"/>
        <v>8.029612715388087</v>
      </c>
      <c r="S27" s="16" t="s">
        <v>50</v>
      </c>
      <c r="T27" s="5">
        <f t="shared" si="20"/>
        <v>0.5884609975527288</v>
      </c>
      <c r="U27" s="27">
        <f t="shared" si="12"/>
        <v>0.08761570665970671</v>
      </c>
      <c r="V27" s="23">
        <v>0.10445</v>
      </c>
      <c r="X27" s="29">
        <f t="shared" si="24"/>
        <v>132.5</v>
      </c>
      <c r="Y27" s="31"/>
      <c r="Z27" s="31">
        <f>TREND(Y12:Y17,X12:X17,X27)</f>
        <v>-3.930844497836177</v>
      </c>
      <c r="AA27" s="31">
        <f t="shared" si="17"/>
        <v>0.9807507169048604</v>
      </c>
      <c r="AB27" s="29">
        <v>130</v>
      </c>
      <c r="AC27" s="4">
        <f t="shared" si="26"/>
        <v>2.5079521849959457E-10</v>
      </c>
      <c r="AD27">
        <f t="shared" si="25"/>
        <v>6.269880462489865E-10</v>
      </c>
      <c r="AF27" s="19">
        <f t="shared" si="23"/>
        <v>75</v>
      </c>
      <c r="AG27" s="23">
        <f t="shared" si="13"/>
        <v>0.3593637590548381</v>
      </c>
      <c r="AH27" s="23">
        <f t="shared" si="14"/>
        <v>0.2270876551116774</v>
      </c>
      <c r="AQ27">
        <f>SUMPRODUCT(AS27:BE27,AS29:BE29)</f>
        <v>0.09524</v>
      </c>
      <c r="AR27" s="19">
        <v>75</v>
      </c>
      <c r="AS27">
        <v>0.22141</v>
      </c>
      <c r="AT27">
        <v>0.19088</v>
      </c>
      <c r="AU27">
        <v>0.16863</v>
      </c>
      <c r="AV27">
        <v>0.15147</v>
      </c>
      <c r="AW27">
        <v>0.1377</v>
      </c>
      <c r="AX27">
        <v>0.12635</v>
      </c>
      <c r="AY27">
        <v>0.11799</v>
      </c>
      <c r="AZ27">
        <v>0.11032</v>
      </c>
      <c r="BA27">
        <v>0.10269</v>
      </c>
      <c r="BB27">
        <v>0.09524</v>
      </c>
      <c r="BC27">
        <v>0.08494</v>
      </c>
      <c r="BD27">
        <v>0.07128</v>
      </c>
      <c r="BE27">
        <v>0.05319</v>
      </c>
    </row>
    <row r="28" spans="1:57" ht="12.75">
      <c r="A28" s="6" t="s">
        <v>16</v>
      </c>
      <c r="B28" s="5">
        <f ca="1" t="shared" si="27" ref="B28:B45">INDIRECT("Calculate!"&amp;B$8&amp;$D28)</f>
        <v>0.9959525471332397</v>
      </c>
      <c r="C28" s="5">
        <f aca="true" t="shared" si="28" ref="C28:C45">T35</f>
        <v>0.9963071666411739</v>
      </c>
      <c r="D28">
        <v>66</v>
      </c>
      <c r="E28" s="19">
        <f t="shared" si="21"/>
        <v>80</v>
      </c>
      <c r="F28" s="20">
        <f t="shared" si="3"/>
        <v>0.13297015453003672</v>
      </c>
      <c r="G28" s="21">
        <f t="shared" si="18"/>
        <v>0.49897786358145085</v>
      </c>
      <c r="H28" s="22">
        <f t="shared" si="4"/>
        <v>-0.002044275684812577</v>
      </c>
      <c r="I28" s="23">
        <f t="shared" si="5"/>
        <v>0.9723160035652515</v>
      </c>
      <c r="J28" s="23">
        <f t="shared" si="6"/>
        <v>0.4929818557511308</v>
      </c>
      <c r="K28" s="23">
        <f t="shared" si="7"/>
        <v>0.965158747426709</v>
      </c>
      <c r="L28" s="23">
        <f t="shared" si="8"/>
        <v>0.4911352574902882</v>
      </c>
      <c r="M28" s="23">
        <f t="shared" si="22"/>
        <v>0.4929818557511308</v>
      </c>
      <c r="N28" s="24">
        <f t="shared" si="15"/>
        <v>21540.880137815137</v>
      </c>
      <c r="O28" s="25">
        <f t="shared" si="9"/>
        <v>10619.26306485278</v>
      </c>
      <c r="P28" s="25">
        <f t="shared" si="19"/>
        <v>81156.24302694373</v>
      </c>
      <c r="Q28" s="26">
        <f t="shared" si="10"/>
        <v>132076.59527742138</v>
      </c>
      <c r="R28" s="6">
        <f t="shared" si="11"/>
        <v>6.131439125626078</v>
      </c>
      <c r="S28" s="13" t="s">
        <v>51</v>
      </c>
      <c r="T28" s="5">
        <f>P29/(P28+P29)</f>
        <v>0.3855365300984748</v>
      </c>
      <c r="U28" s="27">
        <f t="shared" si="12"/>
        <v>0.1308496138901748</v>
      </c>
      <c r="V28" s="23">
        <v>0.08878</v>
      </c>
      <c r="AF28" s="19">
        <f t="shared" si="23"/>
        <v>80</v>
      </c>
      <c r="AG28" s="23">
        <f t="shared" si="13"/>
        <v>0.4929818557511308</v>
      </c>
      <c r="AH28" s="23">
        <f t="shared" si="14"/>
        <v>0.376009229958043</v>
      </c>
      <c r="AQ28">
        <f>SUMPRODUCT(AS28:BE28,AS29:BE29)</f>
        <v>0.17629</v>
      </c>
      <c r="AR28" s="19">
        <v>80</v>
      </c>
      <c r="AS28">
        <v>0.33016</v>
      </c>
      <c r="AT28">
        <v>0.2898</v>
      </c>
      <c r="AU28">
        <v>0.2616</v>
      </c>
      <c r="AV28">
        <v>0.24056</v>
      </c>
      <c r="AW28">
        <v>0.22413</v>
      </c>
      <c r="AX28">
        <v>0.21088</v>
      </c>
      <c r="AY28">
        <v>0.20136</v>
      </c>
      <c r="AZ28">
        <v>0.19279</v>
      </c>
      <c r="BA28">
        <v>0.18437</v>
      </c>
      <c r="BB28">
        <v>0.17629</v>
      </c>
      <c r="BC28">
        <v>0.16525</v>
      </c>
      <c r="BD28">
        <v>0.15079</v>
      </c>
      <c r="BE28">
        <v>0.13196</v>
      </c>
    </row>
    <row r="29" spans="1:57" ht="12.75">
      <c r="A29" s="13" t="s">
        <v>21</v>
      </c>
      <c r="B29" s="5">
        <f ca="1" t="shared" si="27"/>
        <v>0.999020307345687</v>
      </c>
      <c r="C29" s="5">
        <f t="shared" si="28"/>
        <v>0.9991186446211465</v>
      </c>
      <c r="D29">
        <v>67</v>
      </c>
      <c r="E29" s="19">
        <f t="shared" si="21"/>
        <v>85</v>
      </c>
      <c r="F29" s="20"/>
      <c r="G29" s="32"/>
      <c r="H29" s="33"/>
      <c r="I29" s="34"/>
      <c r="J29" s="34">
        <v>1</v>
      </c>
      <c r="K29" s="34"/>
      <c r="L29" s="34">
        <v>1</v>
      </c>
      <c r="M29" s="34"/>
      <c r="N29" s="24">
        <f t="shared" si="15"/>
        <v>10921.617072962357</v>
      </c>
      <c r="O29" s="25">
        <f>N29</f>
        <v>10921.617072962357</v>
      </c>
      <c r="P29" s="25">
        <f>SUM(AD18:AD27)*N29</f>
        <v>50920.35225047764</v>
      </c>
      <c r="Q29" s="26">
        <f>P29</f>
        <v>50920.35225047764</v>
      </c>
      <c r="R29" s="6">
        <f t="shared" si="11"/>
        <v>4.662345503445316</v>
      </c>
      <c r="S29" s="16"/>
      <c r="AF29" s="19">
        <f t="shared" si="23"/>
        <v>85</v>
      </c>
      <c r="AQ29">
        <f>SUMPRODUCT(AS29:BE29,AS29:BE29)</f>
        <v>1</v>
      </c>
      <c r="AR29" s="19">
        <v>85</v>
      </c>
      <c r="AS29">
        <f>IF(AND(AS10&lt;=AR10,AT10&gt;AR10),1,0)</f>
        <v>0</v>
      </c>
      <c r="AT29">
        <f>IF(AND(AT10&lt;=AR10,AU10&gt;AR10),1,0)</f>
        <v>0</v>
      </c>
      <c r="AU29">
        <f>IF(AND(AU10&lt;=AR10,AV10&gt;AR10),1,0)</f>
        <v>0</v>
      </c>
      <c r="AV29">
        <f>IF(AND(AV10&lt;=AR10,AW10&gt;AR10),1,0)</f>
        <v>0</v>
      </c>
      <c r="AW29">
        <f>IF(AND(AW10&lt;=AR10,AX10&gt;AR10),1,0)</f>
        <v>0</v>
      </c>
      <c r="AX29">
        <f>IF(AND(AX10&lt;=AR10,AY10&gt;AR10),1,0)</f>
        <v>0</v>
      </c>
      <c r="AY29">
        <f>IF(AND(AY10&lt;=AR10,AZ10&gt;AR10),1,0)</f>
        <v>0</v>
      </c>
      <c r="AZ29">
        <f>IF(AND(AZ10&lt;=AR10,BA10&gt;AR10),1,0)</f>
        <v>0</v>
      </c>
      <c r="BA29">
        <f>IF(AND(BA10&lt;=AR10,BB10&gt;AR10),1,0)</f>
        <v>0</v>
      </c>
      <c r="BB29">
        <f>IF(AND(BB10&lt;=AR10,BC10&gt;AR10),1,0)</f>
        <v>1</v>
      </c>
      <c r="BC29">
        <f>IF(AND(BC10&lt;=AR10,BD10&gt;AR10),1,0)</f>
        <v>0</v>
      </c>
      <c r="BD29">
        <f>IF(AND(BD10&lt;=AR10,BE10&gt;AR10),1,0)</f>
        <v>0</v>
      </c>
      <c r="BE29">
        <f>IF(MAX(AS29:BD29)=0,1,0)</f>
        <v>0</v>
      </c>
    </row>
    <row r="30" spans="1:15" ht="12.75">
      <c r="A30" s="16" t="s">
        <v>33</v>
      </c>
      <c r="B30" s="5">
        <f ca="1" t="shared" si="27"/>
        <v>0.9992405922807416</v>
      </c>
      <c r="C30" s="5">
        <f t="shared" si="28"/>
        <v>0.999326080950841</v>
      </c>
      <c r="D30">
        <v>68</v>
      </c>
      <c r="O30" s="25"/>
    </row>
    <row r="31" spans="1:15" ht="12.75">
      <c r="A31" s="16" t="s">
        <v>37</v>
      </c>
      <c r="B31" s="5">
        <f ca="1" t="shared" si="27"/>
        <v>0.9986607228940706</v>
      </c>
      <c r="C31" s="5">
        <f t="shared" si="28"/>
        <v>0.9988192320874429</v>
      </c>
      <c r="D31">
        <v>69</v>
      </c>
      <c r="H31" s="16"/>
      <c r="O31" s="7"/>
    </row>
    <row r="32" spans="1:22" ht="12.75">
      <c r="A32" s="16" t="s">
        <v>38</v>
      </c>
      <c r="B32" s="5">
        <f ca="1" t="shared" si="27"/>
        <v>0.9977919366482821</v>
      </c>
      <c r="C32" s="5">
        <f t="shared" si="28"/>
        <v>0.9980575007249474</v>
      </c>
      <c r="D32">
        <v>70</v>
      </c>
      <c r="H32" s="11"/>
      <c r="I32" s="7"/>
      <c r="J32" s="8"/>
      <c r="K32" s="8"/>
      <c r="L32" s="8"/>
      <c r="M32" s="8"/>
      <c r="N32" s="9"/>
      <c r="O32" s="7"/>
      <c r="P32" s="10"/>
      <c r="V32" s="8"/>
    </row>
    <row r="33" spans="1:22" ht="15.75">
      <c r="A33" s="16" t="s">
        <v>39</v>
      </c>
      <c r="B33" s="5">
        <f ca="1" t="shared" si="27"/>
        <v>0.9972035225025392</v>
      </c>
      <c r="C33" s="5">
        <f t="shared" si="28"/>
        <v>0.9975311890174389</v>
      </c>
      <c r="D33">
        <v>71</v>
      </c>
      <c r="H33" s="12"/>
      <c r="I33" s="7"/>
      <c r="K33" s="13" t="s">
        <v>18</v>
      </c>
      <c r="N33" s="14"/>
      <c r="O33" s="7"/>
      <c r="V33" s="14" t="s">
        <v>19</v>
      </c>
    </row>
    <row r="34" spans="1:59" ht="12.75">
      <c r="A34" s="16" t="s">
        <v>40</v>
      </c>
      <c r="B34" s="5">
        <f ca="1" t="shared" si="27"/>
        <v>0.9964180908733336</v>
      </c>
      <c r="C34" s="5">
        <f t="shared" si="28"/>
        <v>0.9968147590148693</v>
      </c>
      <c r="D34">
        <v>72</v>
      </c>
      <c r="F34" s="15" t="s">
        <v>22</v>
      </c>
      <c r="G34" s="16" t="s">
        <v>23</v>
      </c>
      <c r="H34" s="13" t="s">
        <v>17</v>
      </c>
      <c r="I34" s="9">
        <f>E6</f>
        <v>-0.39525575378254996</v>
      </c>
      <c r="J34" s="16" t="s">
        <v>23</v>
      </c>
      <c r="K34" s="9">
        <f>E4</f>
        <v>-0.018218690671363027</v>
      </c>
      <c r="L34" s="16" t="s">
        <v>23</v>
      </c>
      <c r="M34" s="16" t="s">
        <v>23</v>
      </c>
      <c r="N34" s="16" t="s">
        <v>24</v>
      </c>
      <c r="O34" s="16" t="s">
        <v>25</v>
      </c>
      <c r="P34" s="16" t="s">
        <v>26</v>
      </c>
      <c r="Q34" s="13" t="s">
        <v>27</v>
      </c>
      <c r="R34" s="16" t="s">
        <v>28</v>
      </c>
      <c r="S34" s="16"/>
      <c r="T34" s="16" t="s">
        <v>29</v>
      </c>
      <c r="U34" s="18" t="s">
        <v>22</v>
      </c>
      <c r="V34" s="14" t="s">
        <v>31</v>
      </c>
      <c r="AR34" s="2">
        <f>B5</f>
        <v>77.49136083785883</v>
      </c>
      <c r="AS34" s="2">
        <v>15.9</v>
      </c>
      <c r="AT34" s="2">
        <v>23.77952158011594</v>
      </c>
      <c r="AU34" s="2">
        <v>29.405178742985342</v>
      </c>
      <c r="AV34" s="2">
        <v>34.7308334042757</v>
      </c>
      <c r="AW34" s="2">
        <v>39.88868286144615</v>
      </c>
      <c r="AX34" s="2">
        <v>44.94710487406144</v>
      </c>
      <c r="AY34" s="2">
        <v>49.94349365696529</v>
      </c>
      <c r="AZ34" s="2">
        <v>54.89481716409562</v>
      </c>
      <c r="BA34" s="2">
        <v>59.80834261004088</v>
      </c>
      <c r="BB34" s="2">
        <v>64.7126327805177</v>
      </c>
      <c r="BC34" s="2">
        <v>69.59719301314898</v>
      </c>
      <c r="BD34" s="2">
        <v>74.3832491840652</v>
      </c>
      <c r="BE34" s="2">
        <v>78.94595982709768</v>
      </c>
      <c r="BF34">
        <v>85</v>
      </c>
      <c r="BG34">
        <v>1000</v>
      </c>
    </row>
    <row r="35" spans="1:58" ht="12.75">
      <c r="A35" s="16" t="s">
        <v>41</v>
      </c>
      <c r="B35" s="5">
        <f ca="1" t="shared" si="27"/>
        <v>0.9949859591684901</v>
      </c>
      <c r="C35" s="5">
        <f t="shared" si="28"/>
        <v>0.99549444221945</v>
      </c>
      <c r="D35">
        <v>73</v>
      </c>
      <c r="E35" s="19">
        <v>0</v>
      </c>
      <c r="F35" s="20">
        <f aca="true" t="shared" si="29" ref="F35:F52">IF(AND($B$5&gt;60,$B$5&lt;80),B67,AQ35)</f>
        <v>0.0036091859393301037</v>
      </c>
      <c r="G35" s="21">
        <f>F35/(1+(1-(0.07+1.7*F35))*F35)</f>
        <v>0.003597191470048492</v>
      </c>
      <c r="H35" s="22">
        <f aca="true" t="shared" si="30" ref="H35:H52">0.5*LN($G35/(1-$G35))</f>
        <v>-2.811999104140565</v>
      </c>
      <c r="I35" s="23">
        <f aca="true" t="shared" si="31" ref="I35:I52">EXP(2*H35+$I$34*V35)</f>
        <v>0.0033584136882197505</v>
      </c>
      <c r="J35" s="23">
        <f aca="true" t="shared" si="32" ref="J35:J52">I35/(1+I35)</f>
        <v>0.003347172498284679</v>
      </c>
      <c r="K35" s="23">
        <f aca="true" t="shared" si="33" ref="K35:K52">EXP(2*H35+$K$34*5)</f>
        <v>0.0032958484049451127</v>
      </c>
      <c r="L35" s="23">
        <f aca="true" t="shared" si="34" ref="L35:L52">K35/(1+K35)</f>
        <v>0.0032850214721658645</v>
      </c>
      <c r="M35" s="23">
        <f>L35</f>
        <v>0.0032850214721658645</v>
      </c>
      <c r="N35" s="24">
        <v>100000</v>
      </c>
      <c r="O35" s="25">
        <f aca="true" t="shared" si="35" ref="O35:O52">N35-N36</f>
        <v>328.5021472165972</v>
      </c>
      <c r="P35" s="25">
        <f>O35/((-(1-0.93*M35)+SQRT((1-0.93*M35)^2+4*1.7*M35*M35))/3.4/M35)</f>
        <v>99696.33312307233</v>
      </c>
      <c r="Q35" s="26">
        <f aca="true" t="shared" si="36" ref="Q35:Q52">Q36+P35</f>
        <v>7749133.892315202</v>
      </c>
      <c r="R35" s="6">
        <f aca="true" t="shared" si="37" ref="R35:R53">Q35/N35</f>
        <v>77.49133892315203</v>
      </c>
      <c r="S35" s="6" t="s">
        <v>16</v>
      </c>
      <c r="T35" s="5">
        <f>(P35+P36)/N35/5</f>
        <v>0.9963071666411739</v>
      </c>
      <c r="U35" s="27">
        <f aca="true" t="shared" si="38" ref="U35:U52">O35/P35</f>
        <v>0.003295027378901394</v>
      </c>
      <c r="V35" s="23">
        <v>0.18289</v>
      </c>
      <c r="Y35" s="28" t="s">
        <v>34</v>
      </c>
      <c r="Z35" s="28" t="s">
        <v>35</v>
      </c>
      <c r="AA35" s="28" t="s">
        <v>36</v>
      </c>
      <c r="AF35" s="19">
        <v>0</v>
      </c>
      <c r="AQ35">
        <f aca="true" t="shared" si="39" ref="AQ35:AQ52">SUMPRODUCT(AS35:BF35,$AS$53:$BF$53)</f>
        <v>0.0157</v>
      </c>
      <c r="AR35" s="19">
        <v>0</v>
      </c>
      <c r="AS35">
        <v>0.47855</v>
      </c>
      <c r="AT35">
        <v>0.3806</v>
      </c>
      <c r="AU35">
        <v>0.30678</v>
      </c>
      <c r="AV35">
        <v>0.24867</v>
      </c>
      <c r="AW35">
        <v>0.20144</v>
      </c>
      <c r="AX35">
        <v>0.16211</v>
      </c>
      <c r="AY35">
        <v>0.12885</v>
      </c>
      <c r="AZ35">
        <v>0.10044</v>
      </c>
      <c r="BA35">
        <v>0.07538</v>
      </c>
      <c r="BB35">
        <v>0.05278</v>
      </c>
      <c r="BC35">
        <v>0.03233</v>
      </c>
      <c r="BD35">
        <v>0.0157</v>
      </c>
      <c r="BE35">
        <v>0.00438</v>
      </c>
      <c r="BF35">
        <v>0.001813468252192123</v>
      </c>
    </row>
    <row r="36" spans="1:58" ht="12.75">
      <c r="A36" s="16" t="s">
        <v>42</v>
      </c>
      <c r="B36" s="5">
        <f ca="1" t="shared" si="27"/>
        <v>0.9923139755683227</v>
      </c>
      <c r="C36" s="5">
        <f t="shared" si="28"/>
        <v>0.9929940522606758</v>
      </c>
      <c r="D36">
        <v>74</v>
      </c>
      <c r="E36" s="19">
        <v>1</v>
      </c>
      <c r="F36" s="20">
        <f t="shared" si="29"/>
        <v>0.00026415670950923265</v>
      </c>
      <c r="G36" s="21">
        <f>4*F36/(1+2.6*F36)</f>
        <v>0.0010559016369317896</v>
      </c>
      <c r="H36" s="22">
        <f t="shared" si="30"/>
        <v>-3.426151892693803</v>
      </c>
      <c r="I36" s="23">
        <f t="shared" si="31"/>
        <v>0.0009336230317959264</v>
      </c>
      <c r="J36" s="23">
        <f t="shared" si="32"/>
        <v>0.0009327521928657088</v>
      </c>
      <c r="K36" s="23">
        <f t="shared" si="33"/>
        <v>0.0009649857353604682</v>
      </c>
      <c r="L36" s="23">
        <f t="shared" si="34"/>
        <v>0.0009640554356170011</v>
      </c>
      <c r="M36" s="23">
        <f>L36*0.75+J36*0.25</f>
        <v>0.0009562296249291781</v>
      </c>
      <c r="N36" s="24">
        <f aca="true" t="shared" si="40" ref="N36:N53">N35*(1-M35)</f>
        <v>99671.4978527834</v>
      </c>
      <c r="O36" s="25">
        <f t="shared" si="35"/>
        <v>95.30883900789195</v>
      </c>
      <c r="P36" s="25">
        <f>N37*4+O36*1.6</f>
        <v>398457.25019751466</v>
      </c>
      <c r="Q36" s="26">
        <f t="shared" si="36"/>
        <v>7649437.55919213</v>
      </c>
      <c r="R36" s="6">
        <f t="shared" si="37"/>
        <v>76.74648945770322</v>
      </c>
      <c r="S36" s="13" t="s">
        <v>21</v>
      </c>
      <c r="T36" s="5">
        <f>P37/(P36+P35)</f>
        <v>0.9991186446211465</v>
      </c>
      <c r="U36" s="27">
        <f t="shared" si="38"/>
        <v>0.0002391946412335263</v>
      </c>
      <c r="V36" s="23">
        <v>0.31406</v>
      </c>
      <c r="X36" s="29">
        <v>57.5</v>
      </c>
      <c r="Y36" s="30">
        <f aca="true" t="shared" si="41" ref="Y36:Y41">LN((1-M47)/M47)</f>
        <v>3.3472815516853665</v>
      </c>
      <c r="Z36" s="31">
        <f>TREND(Y36:Y41,X36:X41,X36)</f>
        <v>3.439231369748123</v>
      </c>
      <c r="AA36" s="31">
        <f aca="true" t="shared" si="42" ref="AA36:AA51">1/(1+EXP(Z36))</f>
        <v>0.03109163075728085</v>
      </c>
      <c r="AF36" s="19">
        <v>1</v>
      </c>
      <c r="AQ36">
        <f t="shared" si="39"/>
        <v>0.00062</v>
      </c>
      <c r="AR36" s="19">
        <v>1</v>
      </c>
      <c r="AS36">
        <v>0.07896</v>
      </c>
      <c r="AT36">
        <v>0.0628</v>
      </c>
      <c r="AU36">
        <v>0.05032</v>
      </c>
      <c r="AV36">
        <v>0.04031</v>
      </c>
      <c r="AW36">
        <v>0.03205</v>
      </c>
      <c r="AX36">
        <v>0.02508</v>
      </c>
      <c r="AY36">
        <v>0.01902</v>
      </c>
      <c r="AZ36">
        <v>0.01308</v>
      </c>
      <c r="BA36">
        <v>0.00861</v>
      </c>
      <c r="BB36">
        <v>0.00493</v>
      </c>
      <c r="BC36">
        <v>0.00199</v>
      </c>
      <c r="BD36">
        <v>0.00062</v>
      </c>
      <c r="BE36">
        <v>8E-05</v>
      </c>
      <c r="BF36">
        <v>3.312270780259586E-05</v>
      </c>
    </row>
    <row r="37" spans="1:58" ht="12.75">
      <c r="A37" s="16" t="s">
        <v>43</v>
      </c>
      <c r="B37" s="5">
        <f ca="1" t="shared" si="27"/>
        <v>0.9876078890994496</v>
      </c>
      <c r="C37" s="5">
        <f t="shared" si="28"/>
        <v>0.9885536369270801</v>
      </c>
      <c r="D37">
        <v>75</v>
      </c>
      <c r="E37" s="19">
        <v>5</v>
      </c>
      <c r="F37" s="20">
        <f t="shared" si="29"/>
        <v>0.0001502868723687113</v>
      </c>
      <c r="G37" s="21">
        <f aca="true" t="shared" si="43" ref="G37:G52">5*F37/(1+2.5*F37)</f>
        <v>0.000751152141078667</v>
      </c>
      <c r="H37" s="22">
        <f t="shared" si="30"/>
        <v>-3.5965754538308805</v>
      </c>
      <c r="I37" s="23">
        <f t="shared" si="31"/>
        <v>0.0006631494207337393</v>
      </c>
      <c r="J37" s="23">
        <f t="shared" si="32"/>
        <v>0.0006627099450175865</v>
      </c>
      <c r="K37" s="23">
        <f t="shared" si="33"/>
        <v>0.0006862666102797113</v>
      </c>
      <c r="L37" s="23">
        <f t="shared" si="34"/>
        <v>0.0006857959714030729</v>
      </c>
      <c r="M37" s="23">
        <f>L37*0.25+J37*0.75</f>
        <v>0.0006684814516139581</v>
      </c>
      <c r="N37" s="24">
        <f t="shared" si="40"/>
        <v>99576.18901377551</v>
      </c>
      <c r="O37" s="25">
        <f t="shared" si="35"/>
        <v>66.56483537811437</v>
      </c>
      <c r="P37" s="25">
        <f aca="true" t="shared" si="44" ref="P37:P52">(N37+N38)*2.5</f>
        <v>497714.53298043227</v>
      </c>
      <c r="Q37" s="26">
        <f t="shared" si="36"/>
        <v>7250980.308994615</v>
      </c>
      <c r="R37" s="6">
        <f t="shared" si="37"/>
        <v>72.81841553497799</v>
      </c>
      <c r="S37" s="16" t="s">
        <v>33</v>
      </c>
      <c r="T37" s="5">
        <f aca="true" t="shared" si="45" ref="T37:T51">P38/P37</f>
        <v>0.999326080950841</v>
      </c>
      <c r="U37" s="27">
        <f t="shared" si="38"/>
        <v>0.00013374099200903056</v>
      </c>
      <c r="V37" s="23">
        <v>0.31716</v>
      </c>
      <c r="X37" s="29">
        <v>62.5</v>
      </c>
      <c r="Y37" s="30">
        <f t="shared" si="41"/>
        <v>2.9024054085179753</v>
      </c>
      <c r="Z37" s="31">
        <f>TREND(Y36:Y41,X36:X41,X37)</f>
        <v>2.8740905336583182</v>
      </c>
      <c r="AA37" s="31">
        <f t="shared" si="42"/>
        <v>0.05344932328729079</v>
      </c>
      <c r="AF37" s="19">
        <v>5</v>
      </c>
      <c r="AQ37">
        <f t="shared" si="39"/>
        <v>0.00026</v>
      </c>
      <c r="AR37" s="19">
        <v>5</v>
      </c>
      <c r="AS37">
        <v>0.01517</v>
      </c>
      <c r="AT37">
        <v>0.01248</v>
      </c>
      <c r="AU37">
        <v>0.01029</v>
      </c>
      <c r="AV37">
        <v>0.00846</v>
      </c>
      <c r="AW37">
        <v>0.0069</v>
      </c>
      <c r="AX37">
        <v>0.00554</v>
      </c>
      <c r="AY37">
        <v>0.00434</v>
      </c>
      <c r="AZ37">
        <v>0.0032</v>
      </c>
      <c r="BA37">
        <v>0.00224</v>
      </c>
      <c r="BB37">
        <v>0.0014</v>
      </c>
      <c r="BC37">
        <v>0.00069</v>
      </c>
      <c r="BD37">
        <v>0.00026</v>
      </c>
      <c r="BE37">
        <v>5E-05</v>
      </c>
      <c r="BF37">
        <v>2.070169237662241E-05</v>
      </c>
    </row>
    <row r="38" spans="1:58" ht="12.75">
      <c r="A38" s="16" t="s">
        <v>44</v>
      </c>
      <c r="B38" s="5">
        <f ca="1" t="shared" si="27"/>
        <v>0.9803484500102417</v>
      </c>
      <c r="C38" s="5">
        <f t="shared" si="28"/>
        <v>0.9816721669739065</v>
      </c>
      <c r="D38">
        <v>76</v>
      </c>
      <c r="E38" s="19">
        <f aca="true" t="shared" si="46" ref="E38:E53">+E37+5</f>
        <v>10</v>
      </c>
      <c r="F38" s="20">
        <f t="shared" si="29"/>
        <v>0.00015359285493426892</v>
      </c>
      <c r="G38" s="21">
        <f t="shared" si="43"/>
        <v>0.000767669503294702</v>
      </c>
      <c r="H38" s="22">
        <f t="shared" si="30"/>
        <v>-3.585691643688117</v>
      </c>
      <c r="I38" s="23">
        <f t="shared" si="31"/>
        <v>0.0006798221282227837</v>
      </c>
      <c r="J38" s="23">
        <f t="shared" si="32"/>
        <v>0.0006793602840686381</v>
      </c>
      <c r="K38" s="23">
        <f t="shared" si="33"/>
        <v>0.0007013687740340406</v>
      </c>
      <c r="L38" s="23">
        <f t="shared" si="34"/>
        <v>0.0007008772006510715</v>
      </c>
      <c r="M38" s="23">
        <f aca="true" t="shared" si="47" ref="M38:M52">J38</f>
        <v>0.0006793602840686381</v>
      </c>
      <c r="N38" s="24">
        <f t="shared" si="40"/>
        <v>99509.6241783974</v>
      </c>
      <c r="O38" s="25">
        <f t="shared" si="35"/>
        <v>67.60288654940086</v>
      </c>
      <c r="P38" s="25">
        <f t="shared" si="44"/>
        <v>497379.1136756135</v>
      </c>
      <c r="Q38" s="26">
        <f t="shared" si="36"/>
        <v>6753265.776014184</v>
      </c>
      <c r="R38" s="6">
        <f t="shared" si="37"/>
        <v>67.86545353550088</v>
      </c>
      <c r="S38" s="16" t="s">
        <v>37</v>
      </c>
      <c r="T38" s="5">
        <f t="shared" si="45"/>
        <v>0.9988192320874429</v>
      </c>
      <c r="U38" s="27">
        <f t="shared" si="38"/>
        <v>0.0001359182255358855</v>
      </c>
      <c r="V38" s="23">
        <v>0.30941</v>
      </c>
      <c r="X38" s="29">
        <v>67.5</v>
      </c>
      <c r="Y38" s="30">
        <f t="shared" si="41"/>
        <v>2.3603203270130093</v>
      </c>
      <c r="Z38" s="31">
        <f>TREND(Y36:Y41,X36:X41,X38)</f>
        <v>2.3089496975685133</v>
      </c>
      <c r="AA38" s="31">
        <f t="shared" si="42"/>
        <v>0.09038445828896256</v>
      </c>
      <c r="AF38" s="19">
        <f aca="true" t="shared" si="48" ref="AF38:AF53">+AF37+5</f>
        <v>10</v>
      </c>
      <c r="AQ38">
        <f t="shared" si="39"/>
        <v>0.00022</v>
      </c>
      <c r="AR38" s="19">
        <v>10</v>
      </c>
      <c r="AS38">
        <v>0.01176</v>
      </c>
      <c r="AT38">
        <v>0.00969</v>
      </c>
      <c r="AU38">
        <v>0.008</v>
      </c>
      <c r="AV38">
        <v>0.00658</v>
      </c>
      <c r="AW38">
        <v>0.00536</v>
      </c>
      <c r="AX38">
        <v>0.00431</v>
      </c>
      <c r="AY38">
        <v>0.00338</v>
      </c>
      <c r="AZ38">
        <v>0.00248</v>
      </c>
      <c r="BA38">
        <v>0.00174</v>
      </c>
      <c r="BB38">
        <v>0.0011</v>
      </c>
      <c r="BC38">
        <v>0.00056</v>
      </c>
      <c r="BD38">
        <v>0.00022</v>
      </c>
      <c r="BE38">
        <v>4E-05</v>
      </c>
      <c r="BF38">
        <v>1.656135390129793E-05</v>
      </c>
    </row>
    <row r="39" spans="1:58" ht="12.75">
      <c r="A39" s="16" t="s">
        <v>45</v>
      </c>
      <c r="B39" s="5">
        <f ca="1" t="shared" si="27"/>
        <v>0.9700382612188125</v>
      </c>
      <c r="C39" s="5">
        <f t="shared" si="28"/>
        <v>0.9718533325346053</v>
      </c>
      <c r="D39">
        <v>77</v>
      </c>
      <c r="E39" s="19">
        <f t="shared" si="46"/>
        <v>15</v>
      </c>
      <c r="F39" s="20">
        <f t="shared" si="29"/>
        <v>0.00038263043561996096</v>
      </c>
      <c r="G39" s="21">
        <f t="shared" si="43"/>
        <v>0.0019113238514051197</v>
      </c>
      <c r="H39" s="22">
        <f t="shared" si="30"/>
        <v>-3.1290230041684777</v>
      </c>
      <c r="I39" s="23">
        <f t="shared" si="31"/>
        <v>0.0016853520415115672</v>
      </c>
      <c r="J39" s="23">
        <f t="shared" si="32"/>
        <v>0.0016825164090467034</v>
      </c>
      <c r="K39" s="23">
        <f t="shared" si="33"/>
        <v>0.001748250926024717</v>
      </c>
      <c r="L39" s="23">
        <f t="shared" si="34"/>
        <v>0.0017451998787206455</v>
      </c>
      <c r="M39" s="23">
        <f t="shared" si="47"/>
        <v>0.0016825164090467034</v>
      </c>
      <c r="N39" s="24">
        <f t="shared" si="40"/>
        <v>99442.021291848</v>
      </c>
      <c r="O39" s="25">
        <f t="shared" si="35"/>
        <v>167.31283257230825</v>
      </c>
      <c r="P39" s="25">
        <f t="shared" si="44"/>
        <v>496791.82437780924</v>
      </c>
      <c r="Q39" s="26">
        <f t="shared" si="36"/>
        <v>6255886.66233857</v>
      </c>
      <c r="R39" s="6">
        <f t="shared" si="37"/>
        <v>62.90989041723563</v>
      </c>
      <c r="S39" s="16" t="s">
        <v>38</v>
      </c>
      <c r="T39" s="5">
        <f t="shared" si="45"/>
        <v>0.9980575007249474</v>
      </c>
      <c r="U39" s="27">
        <f t="shared" si="38"/>
        <v>0.0003367866063050731</v>
      </c>
      <c r="V39" s="23">
        <v>0.32317</v>
      </c>
      <c r="X39" s="29">
        <v>72.5</v>
      </c>
      <c r="Y39" s="30">
        <f t="shared" si="41"/>
        <v>1.81691694677391</v>
      </c>
      <c r="Z39" s="31">
        <f>TREND(Y36:Y41,X36:X41,X39)</f>
        <v>1.7438088614787084</v>
      </c>
      <c r="AA39" s="31">
        <f t="shared" si="42"/>
        <v>0.1488297842831624</v>
      </c>
      <c r="AF39" s="19">
        <f t="shared" si="48"/>
        <v>15</v>
      </c>
      <c r="AQ39">
        <f t="shared" si="39"/>
        <v>0.00036</v>
      </c>
      <c r="AR39" s="19">
        <v>15</v>
      </c>
      <c r="AS39">
        <v>0.01533</v>
      </c>
      <c r="AT39">
        <v>0.01266</v>
      </c>
      <c r="AU39">
        <v>0.0105</v>
      </c>
      <c r="AV39">
        <v>0.00868</v>
      </c>
      <c r="AW39">
        <v>0.00713</v>
      </c>
      <c r="AX39">
        <v>0.00578</v>
      </c>
      <c r="AY39">
        <v>0.0046</v>
      </c>
      <c r="AZ39">
        <v>0.00354</v>
      </c>
      <c r="BA39">
        <v>0.00254</v>
      </c>
      <c r="BB39">
        <v>0.00167</v>
      </c>
      <c r="BC39">
        <v>0.0009</v>
      </c>
      <c r="BD39">
        <v>0.00036</v>
      </c>
      <c r="BE39">
        <v>7E-05</v>
      </c>
      <c r="BF39">
        <v>2.8982369327271366E-05</v>
      </c>
    </row>
    <row r="40" spans="1:58" ht="12.75">
      <c r="A40" s="16" t="s">
        <v>46</v>
      </c>
      <c r="B40" s="5">
        <f ca="1" t="shared" si="27"/>
        <v>0.9546846287806648</v>
      </c>
      <c r="C40" s="5">
        <f t="shared" si="28"/>
        <v>0.957146469565289</v>
      </c>
      <c r="D40">
        <v>78</v>
      </c>
      <c r="E40" s="19">
        <f t="shared" si="46"/>
        <v>20</v>
      </c>
      <c r="F40" s="20">
        <f t="shared" si="29"/>
        <v>0.0005017026964046058</v>
      </c>
      <c r="G40" s="21">
        <f t="shared" si="43"/>
        <v>0.002505371103427819</v>
      </c>
      <c r="H40" s="22">
        <f t="shared" si="30"/>
        <v>-2.9934049477696436</v>
      </c>
      <c r="I40" s="23">
        <f t="shared" si="31"/>
        <v>0.0022077838756380617</v>
      </c>
      <c r="J40" s="23">
        <f t="shared" si="32"/>
        <v>0.00220292030371221</v>
      </c>
      <c r="K40" s="23">
        <f t="shared" si="33"/>
        <v>0.0022929791938945386</v>
      </c>
      <c r="L40" s="23">
        <f t="shared" si="34"/>
        <v>0.0022877334686497485</v>
      </c>
      <c r="M40" s="23">
        <f t="shared" si="47"/>
        <v>0.00220292030371221</v>
      </c>
      <c r="N40" s="24">
        <f t="shared" si="40"/>
        <v>99274.70845927569</v>
      </c>
      <c r="O40" s="25">
        <f t="shared" si="35"/>
        <v>218.69427091004036</v>
      </c>
      <c r="P40" s="25">
        <f t="shared" si="44"/>
        <v>495826.8066191033</v>
      </c>
      <c r="Q40" s="26">
        <f t="shared" si="36"/>
        <v>5759094.83796076</v>
      </c>
      <c r="R40" s="6">
        <f t="shared" si="37"/>
        <v>58.011702349377806</v>
      </c>
      <c r="S40" s="16" t="s">
        <v>39</v>
      </c>
      <c r="T40" s="5">
        <f t="shared" si="45"/>
        <v>0.9975311890174389</v>
      </c>
      <c r="U40" s="27">
        <f t="shared" si="38"/>
        <v>0.00044106988164123695</v>
      </c>
      <c r="V40" s="23">
        <v>0.32626</v>
      </c>
      <c r="X40" s="29">
        <v>77.5</v>
      </c>
      <c r="Y40" s="30">
        <f t="shared" si="41"/>
        <v>1.2248295573401569</v>
      </c>
      <c r="Z40" s="31">
        <f>TREND(Y36:Y41,X36:X41,X40)</f>
        <v>1.1786680253889052</v>
      </c>
      <c r="AA40" s="31">
        <f t="shared" si="42"/>
        <v>0.23529177332830165</v>
      </c>
      <c r="AF40" s="19">
        <f t="shared" si="48"/>
        <v>20</v>
      </c>
      <c r="AQ40">
        <f t="shared" si="39"/>
        <v>0.00052</v>
      </c>
      <c r="AR40" s="19">
        <v>20</v>
      </c>
      <c r="AS40">
        <v>0.01922</v>
      </c>
      <c r="AT40">
        <v>0.0159</v>
      </c>
      <c r="AU40">
        <v>0.0132</v>
      </c>
      <c r="AV40">
        <v>0.01094</v>
      </c>
      <c r="AW40">
        <v>0.00902</v>
      </c>
      <c r="AX40">
        <v>0.00735</v>
      </c>
      <c r="AY40">
        <v>0.00588</v>
      </c>
      <c r="AZ40">
        <v>0.00463</v>
      </c>
      <c r="BA40">
        <v>0.00337</v>
      </c>
      <c r="BB40">
        <v>0.00227</v>
      </c>
      <c r="BC40">
        <v>0.00129</v>
      </c>
      <c r="BD40">
        <v>0.00052</v>
      </c>
      <c r="BE40">
        <v>0.00011</v>
      </c>
      <c r="BF40">
        <v>4.55437232285693E-05</v>
      </c>
    </row>
    <row r="41" spans="1:58" ht="12.75">
      <c r="A41" s="16" t="s">
        <v>47</v>
      </c>
      <c r="B41" s="5">
        <f ca="1" t="shared" si="27"/>
        <v>0.9279082982307446</v>
      </c>
      <c r="C41" s="5">
        <f t="shared" si="28"/>
        <v>0.9313151061665894</v>
      </c>
      <c r="D41">
        <v>79</v>
      </c>
      <c r="E41" s="19">
        <f t="shared" si="46"/>
        <v>25</v>
      </c>
      <c r="F41" s="20">
        <f t="shared" si="29"/>
        <v>0.0006186182546082084</v>
      </c>
      <c r="G41" s="21">
        <f t="shared" si="43"/>
        <v>0.0030883150528718223</v>
      </c>
      <c r="H41" s="22">
        <f t="shared" si="30"/>
        <v>-2.8885182666955007</v>
      </c>
      <c r="I41" s="23">
        <f t="shared" si="31"/>
        <v>0.002742791015810118</v>
      </c>
      <c r="J41" s="23">
        <f t="shared" si="32"/>
        <v>0.002735288690563992</v>
      </c>
      <c r="K41" s="23">
        <f t="shared" si="33"/>
        <v>0.002828157083360078</v>
      </c>
      <c r="L41" s="23">
        <f t="shared" si="34"/>
        <v>0.002820181168013402</v>
      </c>
      <c r="M41" s="23">
        <f t="shared" si="47"/>
        <v>0.002735288690563992</v>
      </c>
      <c r="N41" s="24">
        <f t="shared" si="40"/>
        <v>99056.01418836565</v>
      </c>
      <c r="O41" s="25">
        <f t="shared" si="35"/>
        <v>270.94679534177703</v>
      </c>
      <c r="P41" s="25">
        <f t="shared" si="44"/>
        <v>494602.7039534738</v>
      </c>
      <c r="Q41" s="26">
        <f t="shared" si="36"/>
        <v>5263268.031341657</v>
      </c>
      <c r="R41" s="6">
        <f t="shared" si="37"/>
        <v>53.13426019073398</v>
      </c>
      <c r="S41" s="16" t="s">
        <v>40</v>
      </c>
      <c r="T41" s="5">
        <f t="shared" si="45"/>
        <v>0.9968147590148693</v>
      </c>
      <c r="U41" s="27">
        <f t="shared" si="38"/>
        <v>0.0005478069431809341</v>
      </c>
      <c r="V41" s="23">
        <v>0.30801</v>
      </c>
      <c r="X41" s="29">
        <v>82.5</v>
      </c>
      <c r="Y41" s="30">
        <f t="shared" si="41"/>
        <v>0.5065218858112474</v>
      </c>
      <c r="Z41" s="31">
        <f>TREND(Y36:Y41,X36:X41,X41)</f>
        <v>0.6135271892991003</v>
      </c>
      <c r="AA41" s="31">
        <f t="shared" si="42"/>
        <v>0.35125501882249593</v>
      </c>
      <c r="AD41">
        <f>SUM(AD42:AD51)</f>
        <v>4.92532062670162</v>
      </c>
      <c r="AF41" s="19">
        <f t="shared" si="48"/>
        <v>25</v>
      </c>
      <c r="AQ41">
        <f t="shared" si="39"/>
        <v>0.00066</v>
      </c>
      <c r="AR41" s="19">
        <v>25</v>
      </c>
      <c r="AS41">
        <v>0.0216</v>
      </c>
      <c r="AT41">
        <v>0.01786</v>
      </c>
      <c r="AU41">
        <v>0.01484</v>
      </c>
      <c r="AV41">
        <v>0.01232</v>
      </c>
      <c r="AW41">
        <v>0.01017</v>
      </c>
      <c r="AX41">
        <v>0.0083</v>
      </c>
      <c r="AY41">
        <v>0.00667</v>
      </c>
      <c r="AZ41">
        <v>0.00529</v>
      </c>
      <c r="BA41">
        <v>0.00389</v>
      </c>
      <c r="BB41">
        <v>0.00266</v>
      </c>
      <c r="BC41">
        <v>0.00156</v>
      </c>
      <c r="BD41">
        <v>0.00066</v>
      </c>
      <c r="BE41">
        <v>0.00015</v>
      </c>
      <c r="BF41">
        <v>6.210507712986722E-05</v>
      </c>
    </row>
    <row r="42" spans="1:58" ht="12.75">
      <c r="A42" s="16" t="s">
        <v>48</v>
      </c>
      <c r="B42" s="5">
        <f ca="1" t="shared" si="27"/>
        <v>0.883402040894181</v>
      </c>
      <c r="C42" s="5">
        <f t="shared" si="28"/>
        <v>0.8881802286444598</v>
      </c>
      <c r="D42">
        <v>80</v>
      </c>
      <c r="E42" s="19">
        <f t="shared" si="46"/>
        <v>30</v>
      </c>
      <c r="F42" s="20">
        <f t="shared" si="29"/>
        <v>0.0008170720739772614</v>
      </c>
      <c r="G42" s="21">
        <f t="shared" si="43"/>
        <v>0.00407703229680026</v>
      </c>
      <c r="H42" s="22">
        <f t="shared" si="30"/>
        <v>-2.749150283708591</v>
      </c>
      <c r="I42" s="23">
        <f t="shared" si="31"/>
        <v>0.003649699271257499</v>
      </c>
      <c r="J42" s="23">
        <f t="shared" si="32"/>
        <v>0.0036364274048081894</v>
      </c>
      <c r="K42" s="23">
        <f t="shared" si="33"/>
        <v>0.0037372918998924785</v>
      </c>
      <c r="L42" s="23">
        <f t="shared" si="34"/>
        <v>0.0037233765548537736</v>
      </c>
      <c r="M42" s="23">
        <f t="shared" si="47"/>
        <v>0.0036364274048081894</v>
      </c>
      <c r="N42" s="24">
        <f t="shared" si="40"/>
        <v>98785.06739302387</v>
      </c>
      <c r="O42" s="25">
        <f t="shared" si="35"/>
        <v>359.2247262538149</v>
      </c>
      <c r="P42" s="25">
        <f t="shared" si="44"/>
        <v>493027.27514948475</v>
      </c>
      <c r="Q42" s="26">
        <f t="shared" si="36"/>
        <v>4768665.327388183</v>
      </c>
      <c r="R42" s="6">
        <f t="shared" si="37"/>
        <v>48.273139384677314</v>
      </c>
      <c r="S42" s="16" t="s">
        <v>41</v>
      </c>
      <c r="T42" s="5">
        <f t="shared" si="45"/>
        <v>0.99549444221945</v>
      </c>
      <c r="U42" s="27">
        <f t="shared" si="38"/>
        <v>0.0007286102501020837</v>
      </c>
      <c r="V42" s="23">
        <v>0.29047</v>
      </c>
      <c r="X42" s="29">
        <f aca="true" t="shared" si="49" ref="X42:X51">+X41+5</f>
        <v>87.5</v>
      </c>
      <c r="Y42" s="31"/>
      <c r="Z42" s="31">
        <f>TREND(Y36:Y41,X36:X41,X42)</f>
        <v>0.04838635320929541</v>
      </c>
      <c r="AA42" s="31">
        <f t="shared" si="42"/>
        <v>0.4879057712291249</v>
      </c>
      <c r="AB42" s="29">
        <v>85</v>
      </c>
      <c r="AC42" s="4">
        <v>1</v>
      </c>
      <c r="AD42">
        <f aca="true" t="shared" si="50" ref="AD42:AD51">(AC42+AC43)*2.5</f>
        <v>3.43402864193028</v>
      </c>
      <c r="AF42" s="19">
        <f t="shared" si="48"/>
        <v>30</v>
      </c>
      <c r="AQ42">
        <f t="shared" si="39"/>
        <v>0.00085</v>
      </c>
      <c r="AR42" s="19">
        <v>30</v>
      </c>
      <c r="AS42">
        <v>0.0245</v>
      </c>
      <c r="AT42">
        <v>0.02026</v>
      </c>
      <c r="AU42">
        <v>0.01682</v>
      </c>
      <c r="AV42">
        <v>0.01396</v>
      </c>
      <c r="AW42">
        <v>0.01153</v>
      </c>
      <c r="AX42">
        <v>0.00943</v>
      </c>
      <c r="AY42">
        <v>0.00759</v>
      </c>
      <c r="AZ42">
        <v>0.00602</v>
      </c>
      <c r="BA42">
        <v>0.00448</v>
      </c>
      <c r="BB42">
        <v>0.00311</v>
      </c>
      <c r="BC42">
        <v>0.00187</v>
      </c>
      <c r="BD42">
        <v>0.00085</v>
      </c>
      <c r="BE42">
        <v>0.00021</v>
      </c>
      <c r="BF42">
        <v>8.694710798181412E-05</v>
      </c>
    </row>
    <row r="43" spans="1:58" ht="12.75">
      <c r="A43" s="16" t="s">
        <v>49</v>
      </c>
      <c r="B43" s="5">
        <f ca="1" t="shared" si="27"/>
        <v>0.8131475046412814</v>
      </c>
      <c r="C43" s="5">
        <f t="shared" si="28"/>
        <v>0.819833980795569</v>
      </c>
      <c r="D43">
        <v>81</v>
      </c>
      <c r="E43" s="19">
        <f t="shared" si="46"/>
        <v>35</v>
      </c>
      <c r="F43" s="20">
        <f t="shared" si="29"/>
        <v>0.0011945336993699738</v>
      </c>
      <c r="G43" s="21">
        <f t="shared" si="43"/>
        <v>0.0059548852191744096</v>
      </c>
      <c r="H43" s="22">
        <f t="shared" si="30"/>
        <v>-2.5587853324031924</v>
      </c>
      <c r="I43" s="23">
        <f t="shared" si="31"/>
        <v>0.005406937977456019</v>
      </c>
      <c r="J43" s="23">
        <f t="shared" si="32"/>
        <v>0.005377860220790775</v>
      </c>
      <c r="K43" s="23">
        <f t="shared" si="33"/>
        <v>0.005468974713887031</v>
      </c>
      <c r="L43" s="23">
        <f t="shared" si="34"/>
        <v>0.0054392277150503475</v>
      </c>
      <c r="M43" s="23">
        <f t="shared" si="47"/>
        <v>0.005377860220790775</v>
      </c>
      <c r="N43" s="24">
        <f t="shared" si="40"/>
        <v>98425.84266677006</v>
      </c>
      <c r="O43" s="25">
        <f t="shared" si="35"/>
        <v>529.3204239754414</v>
      </c>
      <c r="P43" s="25">
        <f t="shared" si="44"/>
        <v>490805.91227391164</v>
      </c>
      <c r="Q43" s="26">
        <f t="shared" si="36"/>
        <v>4275638.052238698</v>
      </c>
      <c r="R43" s="6">
        <f t="shared" si="37"/>
        <v>43.44019757813273</v>
      </c>
      <c r="S43" s="16" t="s">
        <v>42</v>
      </c>
      <c r="T43" s="5">
        <f t="shared" si="45"/>
        <v>0.9929940522606758</v>
      </c>
      <c r="U43" s="27">
        <f t="shared" si="38"/>
        <v>0.0010784719799382435</v>
      </c>
      <c r="V43" s="23">
        <v>0.25933</v>
      </c>
      <c r="X43" s="29">
        <f t="shared" si="49"/>
        <v>92.5</v>
      </c>
      <c r="Y43" s="31"/>
      <c r="Z43" s="31">
        <f>TREND(Y36:Y41,X36:X41,X43)</f>
        <v>-0.5167544828805095</v>
      </c>
      <c r="AA43" s="31">
        <f t="shared" si="42"/>
        <v>0.6263885432278881</v>
      </c>
      <c r="AB43" s="29">
        <v>90</v>
      </c>
      <c r="AC43" s="4">
        <f aca="true" t="shared" si="51" ref="AC43:AC51">AC42*(1-AA43)</f>
        <v>0.37361145677211194</v>
      </c>
      <c r="AD43">
        <f t="shared" si="50"/>
        <v>1.1704756694608747</v>
      </c>
      <c r="AF43" s="19">
        <f t="shared" si="48"/>
        <v>35</v>
      </c>
      <c r="AQ43">
        <f t="shared" si="39"/>
        <v>0.00119</v>
      </c>
      <c r="AR43" s="19">
        <v>35</v>
      </c>
      <c r="AS43">
        <v>0.02684</v>
      </c>
      <c r="AT43">
        <v>0.02223</v>
      </c>
      <c r="AU43">
        <v>0.0185</v>
      </c>
      <c r="AV43">
        <v>0.01541</v>
      </c>
      <c r="AW43">
        <v>0.01278</v>
      </c>
      <c r="AX43">
        <v>0.0105</v>
      </c>
      <c r="AY43">
        <v>0.00852</v>
      </c>
      <c r="AZ43">
        <v>0.00684</v>
      </c>
      <c r="BA43">
        <v>0.00521</v>
      </c>
      <c r="BB43">
        <v>0.00374</v>
      </c>
      <c r="BC43">
        <v>0.00238</v>
      </c>
      <c r="BD43">
        <v>0.00119</v>
      </c>
      <c r="BE43">
        <v>0.00035</v>
      </c>
      <c r="BF43">
        <v>0.00014491184663635684</v>
      </c>
    </row>
    <row r="44" spans="1:58" ht="12.75">
      <c r="A44" s="16" t="s">
        <v>50</v>
      </c>
      <c r="B44" s="5">
        <f ca="1" t="shared" si="27"/>
        <v>0.699817562372525</v>
      </c>
      <c r="C44" s="5">
        <f t="shared" si="28"/>
        <v>0.7079890428701302</v>
      </c>
      <c r="D44">
        <v>82</v>
      </c>
      <c r="E44" s="19">
        <f t="shared" si="46"/>
        <v>40</v>
      </c>
      <c r="F44" s="20">
        <f t="shared" si="29"/>
        <v>0.0018944367605266501</v>
      </c>
      <c r="G44" s="21">
        <f t="shared" si="43"/>
        <v>0.009427534134569131</v>
      </c>
      <c r="H44" s="22">
        <f t="shared" si="30"/>
        <v>-2.3273242267340213</v>
      </c>
      <c r="I44" s="23">
        <f t="shared" si="31"/>
        <v>0.008718188115600031</v>
      </c>
      <c r="J44" s="23">
        <f t="shared" si="32"/>
        <v>0.008642838226092261</v>
      </c>
      <c r="K44" s="23">
        <f t="shared" si="33"/>
        <v>0.008688613472352068</v>
      </c>
      <c r="L44" s="23">
        <f t="shared" si="34"/>
        <v>0.00861377173917134</v>
      </c>
      <c r="M44" s="23">
        <f t="shared" si="47"/>
        <v>0.008642838226092261</v>
      </c>
      <c r="N44" s="24">
        <f t="shared" si="40"/>
        <v>97896.52224279461</v>
      </c>
      <c r="O44" s="25">
        <f t="shared" si="35"/>
        <v>846.1038046415197</v>
      </c>
      <c r="P44" s="25">
        <f t="shared" si="44"/>
        <v>487367.3517023693</v>
      </c>
      <c r="Q44" s="26">
        <f t="shared" si="36"/>
        <v>3784832.139964787</v>
      </c>
      <c r="R44" s="6">
        <f t="shared" si="37"/>
        <v>38.6615586872225</v>
      </c>
      <c r="S44" s="16" t="s">
        <v>43</v>
      </c>
      <c r="T44" s="5">
        <f t="shared" si="45"/>
        <v>0.9885536369270801</v>
      </c>
      <c r="U44" s="27">
        <f t="shared" si="38"/>
        <v>0.001736069930999866</v>
      </c>
      <c r="V44" s="23">
        <v>0.22187</v>
      </c>
      <c r="X44" s="29">
        <f t="shared" si="49"/>
        <v>97.5</v>
      </c>
      <c r="Y44" s="31"/>
      <c r="Z44" s="31">
        <f>TREND(Y36:Y41,X36:X41,X44)</f>
        <v>-1.0818953189703144</v>
      </c>
      <c r="AA44" s="31">
        <f t="shared" si="42"/>
        <v>0.7468524872621152</v>
      </c>
      <c r="AB44" s="29">
        <v>95</v>
      </c>
      <c r="AC44" s="4">
        <f t="shared" si="51"/>
        <v>0.09457881101223792</v>
      </c>
      <c r="AD44">
        <f t="shared" si="50"/>
        <v>0.27463556900979624</v>
      </c>
      <c r="AF44" s="19">
        <f t="shared" si="48"/>
        <v>40</v>
      </c>
      <c r="AQ44">
        <f t="shared" si="39"/>
        <v>0.00181</v>
      </c>
      <c r="AR44" s="19">
        <v>40</v>
      </c>
      <c r="AS44">
        <v>0.02856</v>
      </c>
      <c r="AT44">
        <v>0.02377</v>
      </c>
      <c r="AU44">
        <v>0.0199</v>
      </c>
      <c r="AV44">
        <v>0.01669</v>
      </c>
      <c r="AW44">
        <v>0.01396</v>
      </c>
      <c r="AX44">
        <v>0.01161</v>
      </c>
      <c r="AY44">
        <v>0.00955</v>
      </c>
      <c r="AZ44">
        <v>0.00784</v>
      </c>
      <c r="BA44">
        <v>0.00619</v>
      </c>
      <c r="BB44">
        <v>0.00466</v>
      </c>
      <c r="BC44">
        <v>0.00322</v>
      </c>
      <c r="BD44">
        <v>0.00181</v>
      </c>
      <c r="BE44">
        <v>0.00065</v>
      </c>
      <c r="BF44">
        <v>0.0002691220008960913</v>
      </c>
    </row>
    <row r="45" spans="1:58" ht="12.75">
      <c r="A45" s="13" t="s">
        <v>51</v>
      </c>
      <c r="B45" s="5">
        <f ca="1" t="shared" si="27"/>
        <v>0.42572340718143814</v>
      </c>
      <c r="C45" s="5">
        <f t="shared" si="28"/>
        <v>0.43084421286091396</v>
      </c>
      <c r="D45">
        <v>83</v>
      </c>
      <c r="E45" s="19">
        <f t="shared" si="46"/>
        <v>45</v>
      </c>
      <c r="F45" s="20">
        <f t="shared" si="29"/>
        <v>0.003100833471962113</v>
      </c>
      <c r="G45" s="21">
        <f t="shared" si="43"/>
        <v>0.015384902309698613</v>
      </c>
      <c r="H45" s="22">
        <f t="shared" si="30"/>
        <v>-2.079432070997422</v>
      </c>
      <c r="I45" s="23">
        <f t="shared" si="31"/>
        <v>0.014481036666742516</v>
      </c>
      <c r="J45" s="23">
        <f t="shared" si="32"/>
        <v>0.014274329576748455</v>
      </c>
      <c r="K45" s="23">
        <f t="shared" si="33"/>
        <v>0.014264838791646849</v>
      </c>
      <c r="L45" s="23">
        <f t="shared" si="34"/>
        <v>0.014064215031491566</v>
      </c>
      <c r="M45" s="23">
        <f t="shared" si="47"/>
        <v>0.014274329576748455</v>
      </c>
      <c r="N45" s="24">
        <f t="shared" si="40"/>
        <v>97050.4184381531</v>
      </c>
      <c r="O45" s="25">
        <f t="shared" si="35"/>
        <v>1385.3296583475458</v>
      </c>
      <c r="P45" s="25">
        <f t="shared" si="44"/>
        <v>481788.76804489654</v>
      </c>
      <c r="Q45" s="26">
        <f t="shared" si="36"/>
        <v>3297464.7882624175</v>
      </c>
      <c r="R45" s="6">
        <f t="shared" si="37"/>
        <v>33.976821958411016</v>
      </c>
      <c r="S45" s="16" t="s">
        <v>44</v>
      </c>
      <c r="T45" s="5">
        <f t="shared" si="45"/>
        <v>0.9816721669739065</v>
      </c>
      <c r="U45" s="27">
        <f t="shared" si="38"/>
        <v>0.0028753880335758487</v>
      </c>
      <c r="V45" s="23">
        <v>0.19241</v>
      </c>
      <c r="X45" s="29">
        <f t="shared" si="49"/>
        <v>102.5</v>
      </c>
      <c r="Y45" s="31"/>
      <c r="Z45" s="31">
        <f>TREND(Y36:Y41,X36:X41,X45)</f>
        <v>-1.6470361550601176</v>
      </c>
      <c r="AA45" s="31">
        <f t="shared" si="42"/>
        <v>0.8384900758616639</v>
      </c>
      <c r="AB45" s="29">
        <v>100</v>
      </c>
      <c r="AC45" s="4">
        <f t="shared" si="51"/>
        <v>0.015275416591680573</v>
      </c>
      <c r="AD45">
        <f t="shared" si="50"/>
        <v>0.04195631113471012</v>
      </c>
      <c r="AF45" s="19">
        <f t="shared" si="48"/>
        <v>45</v>
      </c>
      <c r="AQ45">
        <f t="shared" si="39"/>
        <v>0.00298</v>
      </c>
      <c r="AR45" s="19">
        <v>45</v>
      </c>
      <c r="AS45">
        <v>0.03024</v>
      </c>
      <c r="AT45">
        <v>0.02541</v>
      </c>
      <c r="AU45">
        <v>0.02152</v>
      </c>
      <c r="AV45">
        <v>0.01828</v>
      </c>
      <c r="AW45">
        <v>0.01553</v>
      </c>
      <c r="AX45">
        <v>0.01316</v>
      </c>
      <c r="AY45">
        <v>0.01108</v>
      </c>
      <c r="AZ45">
        <v>0.00941</v>
      </c>
      <c r="BA45">
        <v>0.00777</v>
      </c>
      <c r="BB45">
        <v>0.0062</v>
      </c>
      <c r="BC45">
        <v>0.00469</v>
      </c>
      <c r="BD45">
        <v>0.00298</v>
      </c>
      <c r="BE45">
        <v>0.00133</v>
      </c>
      <c r="BF45">
        <v>0.000550665017218156</v>
      </c>
    </row>
    <row r="46" spans="1:58" ht="12.75">
      <c r="A46" s="13"/>
      <c r="D46">
        <v>84</v>
      </c>
      <c r="E46" s="19">
        <f t="shared" si="46"/>
        <v>50</v>
      </c>
      <c r="F46" s="20">
        <f t="shared" si="29"/>
        <v>0.004855198703982769</v>
      </c>
      <c r="G46" s="21">
        <f t="shared" si="43"/>
        <v>0.023984865302583088</v>
      </c>
      <c r="H46" s="22">
        <f t="shared" si="30"/>
        <v>-1.853027537059511</v>
      </c>
      <c r="I46" s="23">
        <f t="shared" si="31"/>
        <v>0.022955149781396907</v>
      </c>
      <c r="J46" s="23">
        <f t="shared" si="32"/>
        <v>0.022440035407517493</v>
      </c>
      <c r="K46" s="23">
        <f t="shared" si="33"/>
        <v>0.022434652531168647</v>
      </c>
      <c r="L46" s="23">
        <f t="shared" si="34"/>
        <v>0.021942382797403015</v>
      </c>
      <c r="M46" s="23">
        <f t="shared" si="47"/>
        <v>0.022440035407517493</v>
      </c>
      <c r="N46" s="24">
        <f t="shared" si="40"/>
        <v>95665.08877980555</v>
      </c>
      <c r="O46" s="25">
        <f t="shared" si="35"/>
        <v>2146.727979482137</v>
      </c>
      <c r="P46" s="25">
        <f t="shared" si="44"/>
        <v>472958.6239503224</v>
      </c>
      <c r="Q46" s="26">
        <f t="shared" si="36"/>
        <v>2815676.020217521</v>
      </c>
      <c r="R46" s="6">
        <f t="shared" si="37"/>
        <v>29.432638971343298</v>
      </c>
      <c r="S46" s="16" t="s">
        <v>45</v>
      </c>
      <c r="T46" s="5">
        <f t="shared" si="45"/>
        <v>0.9718533325346053</v>
      </c>
      <c r="U46" s="27">
        <f t="shared" si="38"/>
        <v>0.004538934001354885</v>
      </c>
      <c r="V46" s="23">
        <v>0.17244</v>
      </c>
      <c r="X46" s="29">
        <f t="shared" si="49"/>
        <v>107.5</v>
      </c>
      <c r="Y46" s="31"/>
      <c r="Z46" s="31">
        <f>TREND(Y36:Y41,X36:X41,X46)</f>
        <v>-2.2121769911499225</v>
      </c>
      <c r="AA46" s="31">
        <f t="shared" si="42"/>
        <v>0.9013376916329542</v>
      </c>
      <c r="AB46" s="29">
        <v>105</v>
      </c>
      <c r="AC46" s="4">
        <f t="shared" si="51"/>
        <v>0.0015071078622034765</v>
      </c>
      <c r="AD46">
        <f t="shared" si="50"/>
        <v>0.003988418746810623</v>
      </c>
      <c r="AF46" s="19">
        <f t="shared" si="48"/>
        <v>50</v>
      </c>
      <c r="AQ46">
        <f t="shared" si="39"/>
        <v>0.00467</v>
      </c>
      <c r="AR46" s="19">
        <v>50</v>
      </c>
      <c r="AS46">
        <v>0.03919</v>
      </c>
      <c r="AT46">
        <v>0.03301</v>
      </c>
      <c r="AU46">
        <v>0.02806</v>
      </c>
      <c r="AV46">
        <v>0.02396</v>
      </c>
      <c r="AW46">
        <v>0.02049</v>
      </c>
      <c r="AX46">
        <v>0.0175</v>
      </c>
      <c r="AY46">
        <v>0.0149</v>
      </c>
      <c r="AZ46">
        <v>0.01282</v>
      </c>
      <c r="BA46">
        <v>0.01081</v>
      </c>
      <c r="BB46">
        <v>0.00884</v>
      </c>
      <c r="BC46">
        <v>0.00695</v>
      </c>
      <c r="BD46">
        <v>0.00467</v>
      </c>
      <c r="BE46">
        <v>0.00229</v>
      </c>
      <c r="BF46">
        <v>0.0009481375108493063</v>
      </c>
    </row>
    <row r="47" spans="1:58" ht="12.75">
      <c r="A47" s="19">
        <v>0</v>
      </c>
      <c r="B47" s="27">
        <f ca="1" t="shared" si="52" ref="B47:B65">INDIRECT("Calculate!"&amp;B$8&amp;$D47)</f>
        <v>0.004841628145599063</v>
      </c>
      <c r="C47" s="27">
        <f aca="true" t="shared" si="53" ref="C47:C65">U11</f>
        <v>0.004453008804581112</v>
      </c>
      <c r="D47">
        <v>85</v>
      </c>
      <c r="E47" s="19">
        <f t="shared" si="46"/>
        <v>55</v>
      </c>
      <c r="F47" s="20">
        <f t="shared" si="29"/>
        <v>0.007349706803868066</v>
      </c>
      <c r="G47" s="21">
        <f t="shared" si="43"/>
        <v>0.03608548959828673</v>
      </c>
      <c r="H47" s="22">
        <f t="shared" si="30"/>
        <v>-1.6425558870864545</v>
      </c>
      <c r="I47" s="23">
        <f t="shared" si="31"/>
        <v>0.0351798588576784</v>
      </c>
      <c r="J47" s="23">
        <f t="shared" si="32"/>
        <v>0.03398429611690803</v>
      </c>
      <c r="K47" s="23">
        <f t="shared" si="33"/>
        <v>0.034176902535644496</v>
      </c>
      <c r="L47" s="23">
        <f t="shared" si="34"/>
        <v>0.03304744328736015</v>
      </c>
      <c r="M47" s="23">
        <f t="shared" si="47"/>
        <v>0.03398429611690803</v>
      </c>
      <c r="N47" s="24">
        <f t="shared" si="40"/>
        <v>93518.36080032341</v>
      </c>
      <c r="O47" s="25">
        <f t="shared" si="35"/>
        <v>3178.155665806029</v>
      </c>
      <c r="P47" s="25">
        <f t="shared" si="44"/>
        <v>459646.414837102</v>
      </c>
      <c r="Q47" s="26">
        <f t="shared" si="36"/>
        <v>2342717.3962671985</v>
      </c>
      <c r="R47" s="6">
        <f t="shared" si="37"/>
        <v>25.050881732938766</v>
      </c>
      <c r="S47" s="16" t="s">
        <v>46</v>
      </c>
      <c r="T47" s="5">
        <f t="shared" si="45"/>
        <v>0.957146469565289</v>
      </c>
      <c r="U47" s="27">
        <f t="shared" si="38"/>
        <v>0.00691434886298931</v>
      </c>
      <c r="V47" s="23">
        <v>0.15729</v>
      </c>
      <c r="X47" s="29">
        <f t="shared" si="49"/>
        <v>112.5</v>
      </c>
      <c r="Y47" s="31"/>
      <c r="Z47" s="31">
        <f>TREND(Y36:Y41,X36:X41,X47)</f>
        <v>-2.7773178272397274</v>
      </c>
      <c r="AA47" s="31">
        <f t="shared" si="42"/>
        <v>0.9414377439503683</v>
      </c>
      <c r="AB47" s="29">
        <v>110</v>
      </c>
      <c r="AC47" s="4">
        <f t="shared" si="51"/>
        <v>8.825963652077307E-05</v>
      </c>
      <c r="AD47">
        <f t="shared" si="50"/>
        <v>0.00022818270987787976</v>
      </c>
      <c r="AF47" s="19">
        <f t="shared" si="48"/>
        <v>55</v>
      </c>
      <c r="AQ47">
        <f t="shared" si="39"/>
        <v>0.0074</v>
      </c>
      <c r="AR47" s="19">
        <v>55</v>
      </c>
      <c r="AS47">
        <v>0.04977</v>
      </c>
      <c r="AT47">
        <v>0.04213</v>
      </c>
      <c r="AU47">
        <v>0.03605</v>
      </c>
      <c r="AV47">
        <v>0.03104</v>
      </c>
      <c r="AW47">
        <v>0.02682</v>
      </c>
      <c r="AX47">
        <v>0.02319</v>
      </c>
      <c r="AY47">
        <v>0.02004</v>
      </c>
      <c r="AZ47">
        <v>0.01757</v>
      </c>
      <c r="BA47">
        <v>0.01514</v>
      </c>
      <c r="BB47">
        <v>0.01276</v>
      </c>
      <c r="BC47">
        <v>0.01041</v>
      </c>
      <c r="BD47">
        <v>0.0074</v>
      </c>
      <c r="BE47">
        <v>0.00403</v>
      </c>
      <c r="BF47">
        <v>0.001668556405555766</v>
      </c>
    </row>
    <row r="48" spans="1:58" ht="12.75">
      <c r="A48" s="19">
        <v>1</v>
      </c>
      <c r="B48" s="27">
        <f ca="1" t="shared" si="52"/>
        <v>0.0002009041918930411</v>
      </c>
      <c r="C48" s="27">
        <f t="shared" si="53"/>
        <v>0.00017820270483145923</v>
      </c>
      <c r="D48">
        <v>86</v>
      </c>
      <c r="E48" s="19">
        <f t="shared" si="46"/>
        <v>60</v>
      </c>
      <c r="F48" s="20">
        <f t="shared" si="29"/>
        <v>0.011287959771207194</v>
      </c>
      <c r="G48" s="21">
        <f t="shared" si="43"/>
        <v>0.05489078638473396</v>
      </c>
      <c r="H48" s="22">
        <f t="shared" si="30"/>
        <v>-1.4229774908813757</v>
      </c>
      <c r="I48" s="23">
        <f t="shared" si="31"/>
        <v>0.05489102578854564</v>
      </c>
      <c r="J48" s="23">
        <f t="shared" si="32"/>
        <v>0.052034783163989705</v>
      </c>
      <c r="K48" s="23">
        <f t="shared" si="33"/>
        <v>0.053021995869514685</v>
      </c>
      <c r="L48" s="23">
        <f t="shared" si="34"/>
        <v>0.05035222063498559</v>
      </c>
      <c r="M48" s="23">
        <f t="shared" si="47"/>
        <v>0.052034783163989705</v>
      </c>
      <c r="N48" s="24">
        <f t="shared" si="40"/>
        <v>90340.20513451738</v>
      </c>
      <c r="O48" s="25">
        <f t="shared" si="35"/>
        <v>4700.832985164961</v>
      </c>
      <c r="P48" s="25">
        <f t="shared" si="44"/>
        <v>439948.94320967444</v>
      </c>
      <c r="Q48" s="26">
        <f t="shared" si="36"/>
        <v>1883070.9814300963</v>
      </c>
      <c r="R48" s="6">
        <f t="shared" si="37"/>
        <v>20.844218569419745</v>
      </c>
      <c r="S48" s="16" t="s">
        <v>47</v>
      </c>
      <c r="T48" s="5">
        <f t="shared" si="45"/>
        <v>0.9313151061665894</v>
      </c>
      <c r="U48" s="27">
        <f t="shared" si="38"/>
        <v>0.010684951191994568</v>
      </c>
      <c r="V48" s="23">
        <v>0.14282</v>
      </c>
      <c r="X48" s="29">
        <f t="shared" si="49"/>
        <v>117.5</v>
      </c>
      <c r="Y48" s="31"/>
      <c r="Z48" s="31">
        <f>TREND(Y36:Y41,X36:X41,X48)</f>
        <v>-3.3424586633295323</v>
      </c>
      <c r="AA48" s="31">
        <f t="shared" si="42"/>
        <v>0.9658570151751126</v>
      </c>
      <c r="AB48" s="29">
        <v>115</v>
      </c>
      <c r="AC48" s="4">
        <f t="shared" si="51"/>
        <v>3.0134474303788348E-06</v>
      </c>
      <c r="AD48">
        <f t="shared" si="50"/>
        <v>7.681978569545037E-06</v>
      </c>
      <c r="AF48" s="19">
        <f t="shared" si="48"/>
        <v>60</v>
      </c>
      <c r="AQ48">
        <f t="shared" si="39"/>
        <v>0.01208</v>
      </c>
      <c r="AR48" s="19">
        <v>60</v>
      </c>
      <c r="AS48">
        <v>0.07433</v>
      </c>
      <c r="AT48">
        <v>0.06268</v>
      </c>
      <c r="AU48">
        <v>0.05355</v>
      </c>
      <c r="AV48">
        <v>0.04613</v>
      </c>
      <c r="AW48">
        <v>0.03994</v>
      </c>
      <c r="AX48">
        <v>0.03467</v>
      </c>
      <c r="AY48">
        <v>0.03012</v>
      </c>
      <c r="AZ48">
        <v>0.0266</v>
      </c>
      <c r="BA48">
        <v>0.02318</v>
      </c>
      <c r="BB48">
        <v>0.01979</v>
      </c>
      <c r="BC48">
        <v>0.01648</v>
      </c>
      <c r="BD48">
        <v>0.01208</v>
      </c>
      <c r="BE48">
        <v>0.00697</v>
      </c>
      <c r="BF48">
        <v>0.0028858159173011633</v>
      </c>
    </row>
    <row r="49" spans="1:58" ht="12.75">
      <c r="A49" s="19">
        <v>5</v>
      </c>
      <c r="B49" s="27">
        <f ca="1" t="shared" si="52"/>
        <v>0.0002436964222986161</v>
      </c>
      <c r="C49" s="27">
        <f t="shared" si="53"/>
        <v>0.0002211264297398019</v>
      </c>
      <c r="D49">
        <v>87</v>
      </c>
      <c r="E49" s="19">
        <f t="shared" si="46"/>
        <v>65</v>
      </c>
      <c r="F49" s="20">
        <f t="shared" si="29"/>
        <v>0.018912128461352574</v>
      </c>
      <c r="G49" s="21">
        <f t="shared" si="43"/>
        <v>0.09029162526669286</v>
      </c>
      <c r="H49" s="22">
        <f t="shared" si="30"/>
        <v>-1.1550396840748545</v>
      </c>
      <c r="I49" s="23">
        <f t="shared" si="31"/>
        <v>0.09438998269192203</v>
      </c>
      <c r="J49" s="23">
        <f t="shared" si="32"/>
        <v>0.08624894615696918</v>
      </c>
      <c r="K49" s="23">
        <f t="shared" si="33"/>
        <v>0.09061161969012148</v>
      </c>
      <c r="L49" s="23">
        <f t="shared" si="34"/>
        <v>0.08308330670075495</v>
      </c>
      <c r="M49" s="23">
        <f t="shared" si="47"/>
        <v>0.08624894615696918</v>
      </c>
      <c r="N49" s="24">
        <f t="shared" si="40"/>
        <v>85639.37214935242</v>
      </c>
      <c r="O49" s="25">
        <f t="shared" si="35"/>
        <v>7386.3055974261515</v>
      </c>
      <c r="P49" s="25">
        <f t="shared" si="44"/>
        <v>409731.0967531968</v>
      </c>
      <c r="Q49" s="26">
        <f t="shared" si="36"/>
        <v>1443122.0382204219</v>
      </c>
      <c r="R49" s="6">
        <f t="shared" si="37"/>
        <v>16.851151543984486</v>
      </c>
      <c r="S49" s="16" t="s">
        <v>48</v>
      </c>
      <c r="T49" s="5">
        <f t="shared" si="45"/>
        <v>0.8881802286444598</v>
      </c>
      <c r="U49" s="27">
        <f t="shared" si="38"/>
        <v>0.018027202855621483</v>
      </c>
      <c r="V49" s="23">
        <v>0.12711</v>
      </c>
      <c r="X49" s="29">
        <f t="shared" si="49"/>
        <v>122.5</v>
      </c>
      <c r="Y49" s="31"/>
      <c r="Z49" s="31">
        <f>TREND(Y36:Y41,X36:X41,X49)</f>
        <v>-3.9075994994193373</v>
      </c>
      <c r="AA49" s="31">
        <f t="shared" si="42"/>
        <v>0.9803069411993295</v>
      </c>
      <c r="AB49" s="29">
        <v>120</v>
      </c>
      <c r="AC49" s="4">
        <f t="shared" si="51"/>
        <v>5.934399743917986E-08</v>
      </c>
      <c r="AD49">
        <f t="shared" si="50"/>
        <v>1.500345529467746E-07</v>
      </c>
      <c r="AF49" s="19">
        <f t="shared" si="48"/>
        <v>65</v>
      </c>
      <c r="AQ49">
        <f t="shared" si="39"/>
        <v>0.02129</v>
      </c>
      <c r="AR49" s="19">
        <v>65</v>
      </c>
      <c r="AS49">
        <v>0.09943</v>
      </c>
      <c r="AT49">
        <v>0.08449</v>
      </c>
      <c r="AU49">
        <v>0.07295</v>
      </c>
      <c r="AV49">
        <v>0.06366</v>
      </c>
      <c r="AW49">
        <v>0.05598</v>
      </c>
      <c r="AX49">
        <v>0.04948</v>
      </c>
      <c r="AY49">
        <v>0.04391</v>
      </c>
      <c r="AZ49">
        <v>0.03974</v>
      </c>
      <c r="BA49">
        <v>0.03557</v>
      </c>
      <c r="BB49">
        <v>0.0314</v>
      </c>
      <c r="BC49">
        <v>0.02726</v>
      </c>
      <c r="BD49">
        <v>0.02129</v>
      </c>
      <c r="BE49">
        <v>0.01381</v>
      </c>
      <c r="BF49">
        <v>0.005717807434423109</v>
      </c>
    </row>
    <row r="50" spans="1:58" ht="12.75">
      <c r="A50" s="19">
        <f aca="true" t="shared" si="54" ref="A50:A65">+A49+5</f>
        <v>10</v>
      </c>
      <c r="B50" s="27">
        <f ca="1" t="shared" si="52"/>
        <v>0.00034672500053763074</v>
      </c>
      <c r="C50" s="27">
        <f t="shared" si="53"/>
        <v>0.00031928690464072854</v>
      </c>
      <c r="D50">
        <v>88</v>
      </c>
      <c r="E50" s="19">
        <f t="shared" si="46"/>
        <v>70</v>
      </c>
      <c r="F50" s="20">
        <f t="shared" si="29"/>
        <v>0.03138667774970237</v>
      </c>
      <c r="G50" s="21">
        <f t="shared" si="43"/>
        <v>0.14551528532790453</v>
      </c>
      <c r="H50" s="22">
        <f t="shared" si="30"/>
        <v>-0.8851087397322507</v>
      </c>
      <c r="I50" s="23">
        <f t="shared" si="31"/>
        <v>0.1625260557849576</v>
      </c>
      <c r="J50" s="23">
        <f t="shared" si="32"/>
        <v>0.13980422630202227</v>
      </c>
      <c r="K50" s="23">
        <f t="shared" si="33"/>
        <v>0.15546868771423353</v>
      </c>
      <c r="L50" s="23">
        <f t="shared" si="34"/>
        <v>0.13455032522065496</v>
      </c>
      <c r="M50" s="23">
        <f t="shared" si="47"/>
        <v>0.13980422630202227</v>
      </c>
      <c r="N50" s="24">
        <f t="shared" si="40"/>
        <v>78253.06655192627</v>
      </c>
      <c r="O50" s="25">
        <f t="shared" si="35"/>
        <v>10940.10942505271</v>
      </c>
      <c r="P50" s="25">
        <f t="shared" si="44"/>
        <v>363915.0591969996</v>
      </c>
      <c r="Q50" s="26">
        <f t="shared" si="36"/>
        <v>1033390.9414672251</v>
      </c>
      <c r="R50" s="6">
        <f t="shared" si="37"/>
        <v>13.20575648983033</v>
      </c>
      <c r="S50" s="16" t="s">
        <v>49</v>
      </c>
      <c r="T50" s="5">
        <f t="shared" si="45"/>
        <v>0.819833980795569</v>
      </c>
      <c r="U50" s="27">
        <f t="shared" si="38"/>
        <v>0.03006226081765541</v>
      </c>
      <c r="V50" s="23">
        <v>0.11815</v>
      </c>
      <c r="X50" s="29">
        <f t="shared" si="49"/>
        <v>127.5</v>
      </c>
      <c r="Y50" s="31"/>
      <c r="Z50" s="31">
        <f>TREND(Y36:Y41,X36:X41,X50)</f>
        <v>-4.47274033550914</v>
      </c>
      <c r="AA50" s="31">
        <f t="shared" si="42"/>
        <v>0.9887128645114198</v>
      </c>
      <c r="AB50" s="29">
        <v>125</v>
      </c>
      <c r="AC50" s="4">
        <f t="shared" si="51"/>
        <v>6.698237395299784E-10</v>
      </c>
      <c r="AD50">
        <f t="shared" si="50"/>
        <v>1.6853529949173533E-09</v>
      </c>
      <c r="AF50" s="19">
        <f t="shared" si="48"/>
        <v>70</v>
      </c>
      <c r="AQ50">
        <f t="shared" si="39"/>
        <v>0.0378</v>
      </c>
      <c r="AR50" s="19">
        <v>70</v>
      </c>
      <c r="AS50">
        <v>0.14668</v>
      </c>
      <c r="AT50">
        <v>0.12472</v>
      </c>
      <c r="AU50">
        <v>0.10822</v>
      </c>
      <c r="AV50">
        <v>0.09522</v>
      </c>
      <c r="AW50">
        <v>0.08463</v>
      </c>
      <c r="AX50">
        <v>0.07579</v>
      </c>
      <c r="AY50">
        <v>0.06828</v>
      </c>
      <c r="AZ50">
        <v>0.06279</v>
      </c>
      <c r="BA50">
        <v>0.05729</v>
      </c>
      <c r="BB50">
        <v>0.05175</v>
      </c>
      <c r="BC50">
        <v>0.04622</v>
      </c>
      <c r="BD50">
        <v>0.0378</v>
      </c>
      <c r="BE50">
        <v>0.02668</v>
      </c>
      <c r="BF50">
        <v>0.011046423052165716</v>
      </c>
    </row>
    <row r="51" spans="1:58" ht="12.75">
      <c r="A51" s="19">
        <f t="shared" si="54"/>
        <v>15</v>
      </c>
      <c r="B51" s="27">
        <f ca="1" t="shared" si="52"/>
        <v>0.0012491441536792273</v>
      </c>
      <c r="C51" s="27">
        <f t="shared" si="53"/>
        <v>0.0011554963663781203</v>
      </c>
      <c r="D51">
        <v>89</v>
      </c>
      <c r="E51" s="19">
        <f t="shared" si="46"/>
        <v>75</v>
      </c>
      <c r="F51" s="20">
        <f t="shared" si="29"/>
        <v>0.05331667396914748</v>
      </c>
      <c r="G51" s="21">
        <f t="shared" si="43"/>
        <v>0.23522926479768616</v>
      </c>
      <c r="H51" s="22">
        <f t="shared" si="30"/>
        <v>-0.5895077314596108</v>
      </c>
      <c r="I51" s="23">
        <f t="shared" si="31"/>
        <v>0.29380777343450126</v>
      </c>
      <c r="J51" s="23">
        <f t="shared" si="32"/>
        <v>0.2270876551116774</v>
      </c>
      <c r="K51" s="23">
        <f t="shared" si="33"/>
        <v>0.28080103630960024</v>
      </c>
      <c r="L51" s="23">
        <f t="shared" si="34"/>
        <v>0.2192386079876062</v>
      </c>
      <c r="M51" s="23">
        <f t="shared" si="47"/>
        <v>0.2270876551116774</v>
      </c>
      <c r="N51" s="24">
        <f t="shared" si="40"/>
        <v>67312.95712687356</v>
      </c>
      <c r="O51" s="25">
        <f t="shared" si="35"/>
        <v>15285.941592574593</v>
      </c>
      <c r="P51" s="25">
        <f t="shared" si="44"/>
        <v>298349.9316529313</v>
      </c>
      <c r="Q51" s="26">
        <f t="shared" si="36"/>
        <v>669475.8822702254</v>
      </c>
      <c r="R51" s="6">
        <f t="shared" si="37"/>
        <v>9.945720866316664</v>
      </c>
      <c r="S51" s="16" t="s">
        <v>50</v>
      </c>
      <c r="T51" s="5">
        <f t="shared" si="45"/>
        <v>0.7079890428701302</v>
      </c>
      <c r="U51" s="27">
        <f t="shared" si="38"/>
        <v>0.051234942498182424</v>
      </c>
      <c r="V51" s="23">
        <v>0.11591</v>
      </c>
      <c r="X51" s="29">
        <f t="shared" si="49"/>
        <v>132.5</v>
      </c>
      <c r="Y51" s="31"/>
      <c r="Z51" s="31">
        <f>TREND(Y36:Y41,X36:X41,X51)</f>
        <v>-5.037881171598945</v>
      </c>
      <c r="AA51" s="31">
        <f t="shared" si="42"/>
        <v>0.9935543364885925</v>
      </c>
      <c r="AB51" s="29">
        <v>130</v>
      </c>
      <c r="AC51" s="4">
        <f t="shared" si="51"/>
        <v>4.317458436962915E-12</v>
      </c>
      <c r="AD51">
        <f t="shared" si="50"/>
        <v>1.0793646092407288E-11</v>
      </c>
      <c r="AF51" s="19">
        <f t="shared" si="48"/>
        <v>75</v>
      </c>
      <c r="AQ51">
        <f t="shared" si="39"/>
        <v>0.06666</v>
      </c>
      <c r="AR51" s="19">
        <v>75</v>
      </c>
      <c r="AS51">
        <v>0.21328</v>
      </c>
      <c r="AT51">
        <v>0.18149</v>
      </c>
      <c r="AU51">
        <v>0.15856</v>
      </c>
      <c r="AV51">
        <v>0.14099</v>
      </c>
      <c r="AW51">
        <v>0.12697</v>
      </c>
      <c r="AX51">
        <v>0.11542</v>
      </c>
      <c r="AY51">
        <v>0.10575</v>
      </c>
      <c r="AZ51">
        <v>0.09875</v>
      </c>
      <c r="BA51">
        <v>0.09184</v>
      </c>
      <c r="BB51">
        <v>0.08485</v>
      </c>
      <c r="BC51">
        <v>0.07783</v>
      </c>
      <c r="BD51">
        <v>0.06666</v>
      </c>
      <c r="BE51">
        <v>0.05114</v>
      </c>
      <c r="BF51">
        <v>0.021173690962809397</v>
      </c>
    </row>
    <row r="52" spans="1:58" ht="12.75">
      <c r="A52" s="19">
        <f t="shared" si="54"/>
        <v>20</v>
      </c>
      <c r="B52" s="27">
        <f ca="1" t="shared" si="52"/>
        <v>0.0026660667021216606</v>
      </c>
      <c r="C52" s="27">
        <f t="shared" si="53"/>
        <v>0.002468526362324752</v>
      </c>
      <c r="D52">
        <v>90</v>
      </c>
      <c r="E52" s="19">
        <f t="shared" si="46"/>
        <v>80</v>
      </c>
      <c r="F52" s="20">
        <f t="shared" si="29"/>
        <v>0.09539100570086437</v>
      </c>
      <c r="G52" s="21">
        <f t="shared" si="43"/>
        <v>0.3851139992576491</v>
      </c>
      <c r="H52" s="22">
        <f t="shared" si="30"/>
        <v>-0.23394874677580818</v>
      </c>
      <c r="I52" s="23">
        <f t="shared" si="31"/>
        <v>0.6025878074009977</v>
      </c>
      <c r="J52" s="23">
        <f t="shared" si="32"/>
        <v>0.376009229958043</v>
      </c>
      <c r="K52" s="23">
        <f t="shared" si="33"/>
        <v>0.5717857350176063</v>
      </c>
      <c r="L52" s="23">
        <f t="shared" si="34"/>
        <v>0.36378096726472803</v>
      </c>
      <c r="M52" s="23">
        <f t="shared" si="47"/>
        <v>0.376009229958043</v>
      </c>
      <c r="N52" s="24">
        <f t="shared" si="40"/>
        <v>52027.01553429897</v>
      </c>
      <c r="O52" s="25">
        <f t="shared" si="35"/>
        <v>19562.638048066896</v>
      </c>
      <c r="P52" s="25">
        <f t="shared" si="44"/>
        <v>211228.48255132762</v>
      </c>
      <c r="Q52" s="26">
        <f t="shared" si="36"/>
        <v>371125.9506172941</v>
      </c>
      <c r="R52" s="6">
        <f t="shared" si="37"/>
        <v>7.133331535663971</v>
      </c>
      <c r="S52" s="13" t="s">
        <v>51</v>
      </c>
      <c r="T52" s="5">
        <f>P53/(P52+P53)</f>
        <v>0.43084421286091396</v>
      </c>
      <c r="U52" s="27">
        <f t="shared" si="38"/>
        <v>0.09261363719409033</v>
      </c>
      <c r="V52" s="23">
        <v>0.09772</v>
      </c>
      <c r="AF52" s="19">
        <f t="shared" si="48"/>
        <v>80</v>
      </c>
      <c r="AQ52">
        <f t="shared" si="39"/>
        <v>0.1524</v>
      </c>
      <c r="AR52" s="19">
        <v>80</v>
      </c>
      <c r="AS52">
        <v>0.31653</v>
      </c>
      <c r="AT52">
        <v>0.27597</v>
      </c>
      <c r="AU52">
        <v>0.24814</v>
      </c>
      <c r="AV52">
        <v>0.22767</v>
      </c>
      <c r="AW52">
        <v>0.21194</v>
      </c>
      <c r="AX52">
        <v>0.19947</v>
      </c>
      <c r="AY52">
        <v>0.1894</v>
      </c>
      <c r="AZ52">
        <v>0.18237</v>
      </c>
      <c r="BA52">
        <v>0.17578</v>
      </c>
      <c r="BB52">
        <v>0.16923</v>
      </c>
      <c r="BC52">
        <v>0.16285</v>
      </c>
      <c r="BD52">
        <v>0.1524</v>
      </c>
      <c r="BE52">
        <v>0.13801</v>
      </c>
      <c r="BF52">
        <v>0.05714081129795317</v>
      </c>
    </row>
    <row r="53" spans="1:58" ht="12.75">
      <c r="A53" s="19">
        <f t="shared" si="54"/>
        <v>25</v>
      </c>
      <c r="B53" s="27">
        <f ca="1" t="shared" si="52"/>
        <v>0.0031661386115434446</v>
      </c>
      <c r="C53" s="27">
        <f t="shared" si="53"/>
        <v>0.0029375489345695384</v>
      </c>
      <c r="D53">
        <v>91</v>
      </c>
      <c r="E53" s="19">
        <f t="shared" si="46"/>
        <v>85</v>
      </c>
      <c r="F53" s="20"/>
      <c r="G53" s="32">
        <v>1</v>
      </c>
      <c r="H53" s="33"/>
      <c r="I53" s="34"/>
      <c r="J53" s="34">
        <v>1</v>
      </c>
      <c r="K53" s="34"/>
      <c r="L53" s="34">
        <v>1</v>
      </c>
      <c r="M53" s="34"/>
      <c r="N53" s="24">
        <f t="shared" si="40"/>
        <v>32464.37748623207</v>
      </c>
      <c r="O53" s="25">
        <f>N53</f>
        <v>32464.37748623207</v>
      </c>
      <c r="P53" s="25">
        <f>SUM(AD42:AD51)*N53</f>
        <v>159897.4680659665</v>
      </c>
      <c r="Q53" s="26">
        <f>P53</f>
        <v>159897.4680659665</v>
      </c>
      <c r="R53" s="6">
        <f t="shared" si="37"/>
        <v>4.92532062670162</v>
      </c>
      <c r="S53" s="16"/>
      <c r="T53" s="5"/>
      <c r="AF53" s="19">
        <f t="shared" si="48"/>
        <v>85</v>
      </c>
      <c r="AR53" s="19">
        <v>85</v>
      </c>
      <c r="AS53">
        <f>IF(AND(AS34&lt;=AR34,AT34&gt;AR34),1,0)</f>
        <v>0</v>
      </c>
      <c r="AT53">
        <f>IF(AND(AT34&lt;=AR34,AU34&gt;AR34),1,0)</f>
        <v>0</v>
      </c>
      <c r="AU53">
        <f>IF(AND(AU34&lt;=AR34,AV34&gt;AR34),1,0)</f>
        <v>0</v>
      </c>
      <c r="AV53">
        <f>IF(AND(AV34&lt;=AR34,AW34&gt;AR34),1,0)</f>
        <v>0</v>
      </c>
      <c r="AW53">
        <f>IF(AND(AW34&lt;=AR34,AX34&gt;AR34),1,0)</f>
        <v>0</v>
      </c>
      <c r="AX53">
        <f>IF(AND(AX34&lt;=AR34,AY34&gt;AR34),1,0)</f>
        <v>0</v>
      </c>
      <c r="AY53">
        <f>IF(AND(AY34&lt;=AR34,AZ34&gt;AR34),1,0)</f>
        <v>0</v>
      </c>
      <c r="AZ53">
        <f>IF(AND(AZ34&lt;=AR34,BA34&gt;AR34),1,0)</f>
        <v>0</v>
      </c>
      <c r="BA53">
        <f>IF(AND(BA34&lt;=AR34,BB34&gt;AR34),1,0)</f>
        <v>0</v>
      </c>
      <c r="BB53">
        <f>IF(AND(BB34&lt;=AR34,BC34&gt;AR34),1,0)</f>
        <v>0</v>
      </c>
      <c r="BC53">
        <f>IF(AND(BC34&lt;=AR34,BD34&gt;AR34),1,0)</f>
        <v>0</v>
      </c>
      <c r="BD53">
        <f>IF(AND(BD34&lt;=AR34,BE34&gt;AR34),1,0)</f>
        <v>1</v>
      </c>
      <c r="BE53">
        <f>IF(AND(BE34&lt;=AR34,BF34&gt;AR34),1,0)</f>
        <v>0</v>
      </c>
      <c r="BF53">
        <f>IF(MAX(AS53:BE53)=0,1,0)</f>
        <v>0</v>
      </c>
    </row>
    <row r="54" spans="1:15" ht="12.75">
      <c r="A54" s="19">
        <f t="shared" si="54"/>
        <v>30</v>
      </c>
      <c r="B54" s="27">
        <f ca="1" t="shared" si="52"/>
        <v>0.003969369834155808</v>
      </c>
      <c r="C54" s="27">
        <f t="shared" si="53"/>
        <v>0.003682606847189435</v>
      </c>
      <c r="D54">
        <v>92</v>
      </c>
      <c r="O54" s="25"/>
    </row>
    <row r="55" spans="1:4" ht="12.75">
      <c r="A55" s="19">
        <f t="shared" si="54"/>
        <v>35</v>
      </c>
      <c r="B55" s="27">
        <f ca="1" t="shared" si="52"/>
        <v>0.005311796505953871</v>
      </c>
      <c r="C55" s="27">
        <f t="shared" si="53"/>
        <v>0.004954973473519435</v>
      </c>
      <c r="D55">
        <v>93</v>
      </c>
    </row>
    <row r="56" spans="1:7" ht="12.75">
      <c r="A56" s="19">
        <f t="shared" si="54"/>
        <v>40</v>
      </c>
      <c r="B56" s="27">
        <f ca="1" t="shared" si="52"/>
        <v>0.00771530506328249</v>
      </c>
      <c r="C56" s="27">
        <f t="shared" si="53"/>
        <v>0.007246862514907085</v>
      </c>
      <c r="D56">
        <v>94</v>
      </c>
      <c r="F56" s="27">
        <v>1.266729583297258</v>
      </c>
      <c r="G56" s="27">
        <v>-1.354228039131953</v>
      </c>
    </row>
    <row r="57" spans="1:7" ht="12.75">
      <c r="A57" s="19">
        <f t="shared" si="54"/>
        <v>45</v>
      </c>
      <c r="B57" s="27">
        <f ca="1" t="shared" si="52"/>
        <v>0.011385541987589284</v>
      </c>
      <c r="C57" s="27">
        <f t="shared" si="53"/>
        <v>0.010780305973273223</v>
      </c>
      <c r="D57">
        <v>95</v>
      </c>
      <c r="F57" s="27">
        <v>1.078409299943128</v>
      </c>
      <c r="G57" s="27">
        <v>0.9184037357671813</v>
      </c>
    </row>
    <row r="58" spans="1:7" ht="12.75">
      <c r="A58" s="19">
        <f t="shared" si="54"/>
        <v>50</v>
      </c>
      <c r="B58" s="27">
        <f ca="1" t="shared" si="52"/>
        <v>0.016757600730205064</v>
      </c>
      <c r="C58" s="27">
        <f t="shared" si="53"/>
        <v>0.01600209913655283</v>
      </c>
      <c r="D58">
        <v>96</v>
      </c>
      <c r="F58" s="27">
        <v>0.16090874270867617</v>
      </c>
      <c r="G58" s="27">
        <v>-0.1776228072075832</v>
      </c>
    </row>
    <row r="59" spans="1:7" ht="12.75">
      <c r="A59" s="19">
        <f t="shared" si="54"/>
        <v>55</v>
      </c>
      <c r="B59" s="27">
        <f ca="1" t="shared" si="52"/>
        <v>0.023958172145655487</v>
      </c>
      <c r="C59" s="27">
        <f t="shared" si="53"/>
        <v>0.023053533331060513</v>
      </c>
      <c r="D59">
        <v>97</v>
      </c>
      <c r="F59" s="27">
        <v>1.1018817536334937</v>
      </c>
      <c r="G59" s="27">
        <v>0.8927339594262763</v>
      </c>
    </row>
    <row r="60" spans="1:7" ht="12.75">
      <c r="A60" s="19">
        <f t="shared" si="54"/>
        <v>60</v>
      </c>
      <c r="B60" s="27">
        <f ca="1" t="shared" si="52"/>
        <v>0.033995946875408016</v>
      </c>
      <c r="C60" s="27">
        <f t="shared" si="53"/>
        <v>0.03290150674328058</v>
      </c>
      <c r="D60">
        <v>98</v>
      </c>
      <c r="F60" s="27">
        <f>IF($O$56&gt;5,F56,IF($O$56&lt;10,F58,($O$56-5)/5*F56+(1-($O$56-5)/5)*F58))</f>
        <v>0.16090874270867617</v>
      </c>
      <c r="G60" s="27">
        <f>IF($O$56&gt;5,G56,IF($O$56&lt;10,G58,($O$56-5)/5*G56+(1-($O$56-5)/5)*G58))</f>
        <v>-0.1776228072075832</v>
      </c>
    </row>
    <row r="61" spans="1:7" ht="12.75">
      <c r="A61" s="19">
        <f t="shared" si="54"/>
        <v>65</v>
      </c>
      <c r="B61" s="27">
        <f ca="1" t="shared" si="52"/>
        <v>0.04809697527340213</v>
      </c>
      <c r="C61" s="27">
        <f t="shared" si="53"/>
        <v>0.04671484646279988</v>
      </c>
      <c r="D61">
        <v>99</v>
      </c>
      <c r="F61" s="27">
        <f>IF($O$56&gt;5,F57,IF($O$56&lt;10,F59,($O$56-5)/5*F57+(1-($O$56-5)/5)*F59))</f>
        <v>1.1018817536334937</v>
      </c>
      <c r="G61" s="27">
        <f>IF($O$56&gt;5,G57,IF($O$56&lt;10,G59,($O$56-5)/5*G57+(1-($O$56-5)/5)*G59))</f>
        <v>0.8927339594262763</v>
      </c>
    </row>
    <row r="62" spans="1:7" ht="12.75">
      <c r="A62" s="19">
        <f t="shared" si="54"/>
        <v>70</v>
      </c>
      <c r="B62" s="27">
        <f ca="1" t="shared" si="52"/>
        <v>0.06531674219870502</v>
      </c>
      <c r="C62" s="27">
        <f t="shared" si="53"/>
        <v>0.06364267650126768</v>
      </c>
      <c r="D62">
        <v>100</v>
      </c>
      <c r="E62" s="2">
        <f>B6</f>
        <v>3.8784918822458976</v>
      </c>
      <c r="F62">
        <f>(E62*F61+F60)/1000</f>
        <v>0.004434548179371055</v>
      </c>
      <c r="G62">
        <f>(E62*G61+G60)/1000</f>
        <v>0.0032848386074324676</v>
      </c>
    </row>
    <row r="63" spans="1:7" ht="12.75">
      <c r="A63" s="19">
        <f t="shared" si="54"/>
        <v>75</v>
      </c>
      <c r="B63" s="27">
        <f ca="1" t="shared" si="52"/>
        <v>0.0895619087703745</v>
      </c>
      <c r="C63" s="27">
        <f t="shared" si="53"/>
        <v>0.08761570665970671</v>
      </c>
      <c r="D63">
        <v>101</v>
      </c>
      <c r="E63" s="19"/>
      <c r="F63" s="20"/>
      <c r="G63" s="21"/>
    </row>
    <row r="64" spans="1:8" ht="12.75">
      <c r="A64" s="19">
        <f t="shared" si="54"/>
        <v>80</v>
      </c>
      <c r="B64" s="27">
        <f ca="1" t="shared" si="52"/>
        <v>0.13297015453003672</v>
      </c>
      <c r="C64" s="27">
        <f t="shared" si="53"/>
        <v>0.1308496138901748</v>
      </c>
      <c r="D64">
        <v>102</v>
      </c>
      <c r="E64" s="19"/>
      <c r="F64" s="20"/>
      <c r="G64" s="19"/>
      <c r="H64" s="21"/>
    </row>
    <row r="65" spans="1:4" ht="12.75">
      <c r="A65" s="19">
        <f t="shared" si="54"/>
        <v>85</v>
      </c>
      <c r="B65" s="27">
        <f ca="1" t="shared" si="52"/>
        <v>0</v>
      </c>
      <c r="C65" s="27">
        <f t="shared" si="53"/>
        <v>0</v>
      </c>
      <c r="D65">
        <v>103</v>
      </c>
    </row>
    <row r="66" spans="4:15" ht="12.75">
      <c r="D66">
        <v>104</v>
      </c>
      <c r="F66" s="26"/>
      <c r="G66" s="26"/>
      <c r="H66" s="3"/>
      <c r="O66" s="4">
        <f>SUM(O69:O76)*5/1000</f>
        <v>1.3959999799031475</v>
      </c>
    </row>
    <row r="67" spans="1:15" ht="12.75">
      <c r="A67" s="19">
        <v>0</v>
      </c>
      <c r="B67" s="27">
        <f ca="1" t="shared" si="55" ref="B67:B85">INDIRECT("Calculate!"&amp;B$8&amp;$D67)</f>
        <v>0.0036091859393301037</v>
      </c>
      <c r="C67" s="27">
        <f aca="true" t="shared" si="56" ref="C67:C85">U35</f>
        <v>0.003295027378901394</v>
      </c>
      <c r="D67">
        <v>105</v>
      </c>
      <c r="E67" t="s">
        <v>3</v>
      </c>
      <c r="F67" s="4">
        <f>SUM(F69:F76)*5/1000</f>
        <v>1.5457853407766458</v>
      </c>
      <c r="G67" s="4"/>
      <c r="H67" s="4"/>
      <c r="I67" s="4"/>
      <c r="L67" s="4">
        <f>SUM(L69:L76)*5/1000</f>
        <v>0.00087996722701127</v>
      </c>
      <c r="O67">
        <f>SUMPRODUCT(M69:M76,O69:O76)/SUM(O69:O76)</f>
        <v>27.057210081426614</v>
      </c>
    </row>
    <row r="68" spans="1:15" ht="12.75">
      <c r="A68" s="19">
        <v>1</v>
      </c>
      <c r="B68" s="27">
        <f ca="1" t="shared" si="55"/>
        <v>0.00026415670950923265</v>
      </c>
      <c r="C68" s="27">
        <f t="shared" si="56"/>
        <v>0.0002391946412335263</v>
      </c>
      <c r="D68">
        <v>106</v>
      </c>
      <c r="E68" t="s">
        <v>52</v>
      </c>
      <c r="F68">
        <f>SUMPRODUCT(M69:M76,F69:F76)/SUM(F69:F76)</f>
        <v>24.755627330320365</v>
      </c>
      <c r="N68" t="s">
        <v>53</v>
      </c>
      <c r="O68" t="s">
        <v>54</v>
      </c>
    </row>
    <row r="69" spans="1:21" ht="12.75">
      <c r="A69" s="19">
        <v>5</v>
      </c>
      <c r="B69" s="27">
        <f ca="1" t="shared" si="55"/>
        <v>0.0001502868723687113</v>
      </c>
      <c r="C69" s="27">
        <f t="shared" si="56"/>
        <v>0.00013374099200903056</v>
      </c>
      <c r="D69">
        <v>107</v>
      </c>
      <c r="E69" s="16" t="s">
        <v>38</v>
      </c>
      <c r="F69" s="35">
        <f aca="true" t="shared" si="57" ref="F69:F76">IF(AND($B$2&gt;24,$B$2&lt;30),B87,R69)</f>
        <v>52.86051215902233</v>
      </c>
      <c r="G69" s="21">
        <f>F69/F67/1000</f>
        <v>0.03419654124321281</v>
      </c>
      <c r="H69" s="35">
        <f aca="true" t="shared" si="58" ref="H69:H76">LN((1-G69)/G69)-I69</f>
        <v>-0.7812258210173146</v>
      </c>
      <c r="I69">
        <v>4.1220616699705115</v>
      </c>
      <c r="J69">
        <v>-0.46344391428117165</v>
      </c>
      <c r="K69">
        <f>H69+J69*E2+I69</f>
        <v>4.728193419492782</v>
      </c>
      <c r="L69">
        <f aca="true" t="shared" si="59" ref="L69:L75">1/(1+EXP(K69))</f>
        <v>0.00876492791068499</v>
      </c>
      <c r="M69">
        <v>17.5</v>
      </c>
      <c r="N69" s="36">
        <f aca="true" t="shared" si="60" ref="N69:N76">F69</f>
        <v>52.86051215902233</v>
      </c>
      <c r="O69" s="2">
        <f>L69*B2/L67</f>
        <v>13.904880758882555</v>
      </c>
      <c r="R69" s="35">
        <f aca="true" t="shared" si="61" ref="R69:R76">IF($B$2&lt;24,T69,U69)</f>
        <v>52.86051215902233</v>
      </c>
      <c r="S69" s="16" t="s">
        <v>38</v>
      </c>
      <c r="T69" s="35">
        <v>52.86051215902233</v>
      </c>
      <c r="U69" s="35">
        <v>29.940686734553964</v>
      </c>
    </row>
    <row r="70" spans="1:21" ht="12.75">
      <c r="A70" s="19">
        <f aca="true" t="shared" si="62" ref="A70:A85">+A69+5</f>
        <v>10</v>
      </c>
      <c r="B70" s="27">
        <f ca="1" t="shared" si="55"/>
        <v>0.00015359285493426892</v>
      </c>
      <c r="C70" s="27">
        <f t="shared" si="56"/>
        <v>0.0001359182255358855</v>
      </c>
      <c r="D70">
        <v>108</v>
      </c>
      <c r="E70" s="16" t="s">
        <v>39</v>
      </c>
      <c r="F70" s="35">
        <f t="shared" si="57"/>
        <v>134.1206500643091</v>
      </c>
      <c r="G70" s="21">
        <f>F70/F67/1000</f>
        <v>0.08676537843017916</v>
      </c>
      <c r="H70" s="35">
        <f t="shared" si="58"/>
        <v>-0.1441905199433906</v>
      </c>
      <c r="I70">
        <v>2.497975670156961</v>
      </c>
      <c r="J70">
        <v>-0.11008030483890958</v>
      </c>
      <c r="K70">
        <f>H70+J70*E2+I70</f>
        <v>2.6833196193897275</v>
      </c>
      <c r="L70">
        <f t="shared" si="59"/>
        <v>0.06396483180256086</v>
      </c>
      <c r="M70">
        <v>22.5</v>
      </c>
      <c r="N70" s="36">
        <f t="shared" si="60"/>
        <v>134.1206500643091</v>
      </c>
      <c r="O70" s="2">
        <f>L70*B2/L67</f>
        <v>101.47526232273118</v>
      </c>
      <c r="R70" s="35">
        <f t="shared" si="61"/>
        <v>134.1206500643091</v>
      </c>
      <c r="S70" s="16" t="s">
        <v>39</v>
      </c>
      <c r="T70" s="35">
        <v>134.1206500643091</v>
      </c>
      <c r="U70" s="35">
        <v>167.44043590173183</v>
      </c>
    </row>
    <row r="71" spans="1:21" ht="12.75">
      <c r="A71" s="19">
        <f t="shared" si="62"/>
        <v>15</v>
      </c>
      <c r="B71" s="27">
        <f ca="1" t="shared" si="55"/>
        <v>0.00038263043561996096</v>
      </c>
      <c r="C71" s="27">
        <f t="shared" si="56"/>
        <v>0.0003367866063050731</v>
      </c>
      <c r="D71">
        <v>109</v>
      </c>
      <c r="E71" s="16" t="s">
        <v>40</v>
      </c>
      <c r="F71" s="35">
        <f t="shared" si="57"/>
        <v>72.14544766627965</v>
      </c>
      <c r="G71" s="21">
        <f>F71/F67/1000</f>
        <v>0.046672358550141096</v>
      </c>
      <c r="H71" s="35">
        <f t="shared" si="58"/>
        <v>0.12651889526621307</v>
      </c>
      <c r="I71">
        <v>2.890287653919427</v>
      </c>
      <c r="J71">
        <v>0.059840747426678165</v>
      </c>
      <c r="K71">
        <f>H71+J71*E2+I71</f>
        <v>2.8376683376117136</v>
      </c>
      <c r="L71">
        <f t="shared" si="59"/>
        <v>0.055322268187850014</v>
      </c>
      <c r="M71">
        <v>27.5</v>
      </c>
      <c r="N71" s="36">
        <f t="shared" si="60"/>
        <v>72.14544766627965</v>
      </c>
      <c r="O71" s="2">
        <f>L71*B2/L67</f>
        <v>87.76450306285045</v>
      </c>
      <c r="R71" s="35">
        <f t="shared" si="61"/>
        <v>72.14544766627965</v>
      </c>
      <c r="S71" s="16" t="s">
        <v>40</v>
      </c>
      <c r="T71" s="35">
        <v>72.14544766627965</v>
      </c>
      <c r="U71" s="35">
        <v>201.82542939104223</v>
      </c>
    </row>
    <row r="72" spans="1:21" ht="12.75">
      <c r="A72" s="19">
        <f t="shared" si="62"/>
        <v>20</v>
      </c>
      <c r="B72" s="27">
        <f ca="1" t="shared" si="55"/>
        <v>0.0005017026964046058</v>
      </c>
      <c r="C72" s="27">
        <f t="shared" si="56"/>
        <v>0.00044106988164123695</v>
      </c>
      <c r="D72">
        <v>110</v>
      </c>
      <c r="E72" s="16" t="s">
        <v>41</v>
      </c>
      <c r="F72" s="35">
        <f t="shared" si="57"/>
        <v>33.45216268814734</v>
      </c>
      <c r="G72" s="21">
        <f>F72/F67/1000</f>
        <v>0.021640884931241514</v>
      </c>
      <c r="H72" s="35">
        <f t="shared" si="58"/>
        <v>0.19775758765241935</v>
      </c>
      <c r="I72">
        <v>3.6135348618524894</v>
      </c>
      <c r="J72">
        <v>0.13947788875405026</v>
      </c>
      <c r="K72">
        <f>H72+J72*E2+I72</f>
        <v>3.393753888909182</v>
      </c>
      <c r="L72">
        <f t="shared" si="59"/>
        <v>0.03249124237889225</v>
      </c>
      <c r="M72">
        <v>32.5</v>
      </c>
      <c r="N72" s="36">
        <f>F72</f>
        <v>33.45216268814734</v>
      </c>
      <c r="O72" s="2">
        <f>L72*B2/L67</f>
        <v>51.544845044953775</v>
      </c>
      <c r="R72" s="35">
        <f t="shared" si="61"/>
        <v>33.45216268814734</v>
      </c>
      <c r="S72" s="16" t="s">
        <v>41</v>
      </c>
      <c r="T72" s="35">
        <v>33.45216268814734</v>
      </c>
      <c r="U72" s="35">
        <v>180.33719658435456</v>
      </c>
    </row>
    <row r="73" spans="1:21" ht="12.75">
      <c r="A73" s="19">
        <f t="shared" si="62"/>
        <v>25</v>
      </c>
      <c r="B73" s="27">
        <f ca="1" t="shared" si="55"/>
        <v>0.0006186182546082084</v>
      </c>
      <c r="C73" s="27">
        <f t="shared" si="56"/>
        <v>0.0005478069431809341</v>
      </c>
      <c r="D73">
        <v>111</v>
      </c>
      <c r="E73" s="16" t="s">
        <v>42</v>
      </c>
      <c r="F73" s="35">
        <f t="shared" si="57"/>
        <v>13.24231493545713</v>
      </c>
      <c r="G73" s="21">
        <f>F73/F67/1000</f>
        <v>0.008566723066997014</v>
      </c>
      <c r="H73" s="35">
        <f>LN((1-G73)/G73)-I73</f>
        <v>0.1261190728720658</v>
      </c>
      <c r="I73">
        <v>4.625147290840692</v>
      </c>
      <c r="J73">
        <v>0.14073610469920356</v>
      </c>
      <c r="K73">
        <f>H73+J73*E2+I73</f>
        <v>4.32996122993937</v>
      </c>
      <c r="L73">
        <f t="shared" si="59"/>
        <v>0.012996913890572883</v>
      </c>
      <c r="M73">
        <v>37.5</v>
      </c>
      <c r="N73" s="36">
        <f t="shared" si="60"/>
        <v>13.24231493545713</v>
      </c>
      <c r="O73" s="2">
        <f>L73*B2/L67</f>
        <v>20.618599459508477</v>
      </c>
      <c r="R73" s="35">
        <f t="shared" si="61"/>
        <v>13.24231493545713</v>
      </c>
      <c r="S73" s="16" t="s">
        <v>42</v>
      </c>
      <c r="T73" s="35">
        <v>13.24231493545713</v>
      </c>
      <c r="U73" s="35">
        <v>148.92743838380005</v>
      </c>
    </row>
    <row r="74" spans="1:21" ht="12.75">
      <c r="A74" s="19">
        <f t="shared" si="62"/>
        <v>30</v>
      </c>
      <c r="B74" s="27">
        <f ca="1" t="shared" si="55"/>
        <v>0.0008170720739772614</v>
      </c>
      <c r="C74" s="27">
        <f t="shared" si="56"/>
        <v>0.0007286102501020837</v>
      </c>
      <c r="D74">
        <v>112</v>
      </c>
      <c r="E74" s="16" t="s">
        <v>43</v>
      </c>
      <c r="F74" s="35">
        <f t="shared" si="57"/>
        <v>3.1274863607985592</v>
      </c>
      <c r="G74" s="21">
        <f>F74/F67/1000</f>
        <v>0.0020232345839346767</v>
      </c>
      <c r="H74" s="35">
        <f t="shared" si="58"/>
        <v>0.08331407772940924</v>
      </c>
      <c r="I74">
        <v>6.1177184072566515</v>
      </c>
      <c r="J74">
        <v>0.055639510268755486</v>
      </c>
      <c r="K74">
        <f>H74+J74*E2+I74</f>
        <v>6.0344710232562155</v>
      </c>
      <c r="L74">
        <f t="shared" si="59"/>
        <v>0.002389041777503748</v>
      </c>
      <c r="M74">
        <v>42.5</v>
      </c>
      <c r="N74" s="36">
        <f>F74</f>
        <v>3.1274863607985592</v>
      </c>
      <c r="O74" s="2">
        <f>L74*B2/L67</f>
        <v>3.790030150012074</v>
      </c>
      <c r="R74" s="35">
        <f t="shared" si="61"/>
        <v>3.1274863607985592</v>
      </c>
      <c r="S74" s="16" t="s">
        <v>43</v>
      </c>
      <c r="T74" s="35">
        <v>3.1274863607985592</v>
      </c>
      <c r="U74" s="35">
        <v>90.08464820817792</v>
      </c>
    </row>
    <row r="75" spans="1:21" ht="12.75">
      <c r="A75" s="19">
        <f t="shared" si="62"/>
        <v>35</v>
      </c>
      <c r="B75" s="27">
        <f ca="1" t="shared" si="55"/>
        <v>0.0011945336993699738</v>
      </c>
      <c r="C75" s="27">
        <f t="shared" si="56"/>
        <v>0.0010784719799382435</v>
      </c>
      <c r="D75">
        <v>113</v>
      </c>
      <c r="E75" s="16" t="s">
        <v>44</v>
      </c>
      <c r="F75" s="35">
        <f t="shared" si="57"/>
        <v>0.20849036243351082</v>
      </c>
      <c r="G75" s="21">
        <f>F75/F67/1000</f>
        <v>0.0001348766590895211</v>
      </c>
      <c r="H75" s="35">
        <f t="shared" si="58"/>
        <v>0.2892376446667555</v>
      </c>
      <c r="I75">
        <v>8.621777303097343</v>
      </c>
      <c r="J75">
        <v>-0.24791856943213197</v>
      </c>
      <c r="K75">
        <f>H75+J75*E2+I75</f>
        <v>9.65317962741579</v>
      </c>
      <c r="L75">
        <f t="shared" si="59"/>
        <v>6.421691898494174E-05</v>
      </c>
      <c r="M75">
        <v>47.5</v>
      </c>
      <c r="N75" s="36">
        <f>F75</f>
        <v>0.20849036243351082</v>
      </c>
      <c r="O75" s="2">
        <f>L75*B2/L67</f>
        <v>0.10187517915576934</v>
      </c>
      <c r="R75" s="35">
        <f t="shared" si="61"/>
        <v>0.20849036243351082</v>
      </c>
      <c r="S75" s="16" t="s">
        <v>44</v>
      </c>
      <c r="T75" s="35">
        <v>0.20849036243351082</v>
      </c>
      <c r="U75" s="35">
        <v>33.981267705205276</v>
      </c>
    </row>
    <row r="76" spans="1:21" ht="12.75">
      <c r="A76" s="19">
        <f t="shared" si="62"/>
        <v>40</v>
      </c>
      <c r="B76" s="27">
        <f ca="1" t="shared" si="55"/>
        <v>0.0018944367605266501</v>
      </c>
      <c r="C76" s="27">
        <f t="shared" si="56"/>
        <v>0.001736069930999866</v>
      </c>
      <c r="D76">
        <v>114</v>
      </c>
      <c r="E76" s="16" t="s">
        <v>45</v>
      </c>
      <c r="F76" s="35">
        <f t="shared" si="57"/>
        <v>3.918881605919716E-06</v>
      </c>
      <c r="G76" s="21">
        <f>F76/F67/1000</f>
        <v>2.5352042761323902E-09</v>
      </c>
      <c r="H76" s="35">
        <f t="shared" si="58"/>
        <v>19.792991618313895</v>
      </c>
      <c r="I76" s="2"/>
      <c r="L76" s="27">
        <f>G76</f>
        <v>2.5352042761323902E-09</v>
      </c>
      <c r="M76">
        <v>52.5</v>
      </c>
      <c r="N76" s="36">
        <f t="shared" si="60"/>
        <v>3.918881605919716E-06</v>
      </c>
      <c r="O76" s="36">
        <f>G76</f>
        <v>2.5352042761323902E-09</v>
      </c>
      <c r="R76" s="35">
        <f t="shared" si="61"/>
        <v>3.918881605919716E-06</v>
      </c>
      <c r="S76" s="16" t="s">
        <v>45</v>
      </c>
      <c r="T76" s="35">
        <v>3.918881605919716E-06</v>
      </c>
      <c r="U76" s="35">
        <v>3.918881605919716E-06</v>
      </c>
    </row>
    <row r="77" spans="1:4" ht="12.75">
      <c r="A77" s="19">
        <f t="shared" si="62"/>
        <v>45</v>
      </c>
      <c r="B77" s="27">
        <f ca="1" t="shared" si="55"/>
        <v>0.003100833471962113</v>
      </c>
      <c r="C77" s="27">
        <f t="shared" si="56"/>
        <v>0.0028753880335758487</v>
      </c>
      <c r="D77">
        <v>115</v>
      </c>
    </row>
    <row r="78" spans="1:4" ht="12.75">
      <c r="A78" s="19">
        <f t="shared" si="62"/>
        <v>50</v>
      </c>
      <c r="B78" s="27">
        <f ca="1" t="shared" si="55"/>
        <v>0.004855198703982769</v>
      </c>
      <c r="C78" s="27">
        <f t="shared" si="56"/>
        <v>0.004538934001354885</v>
      </c>
      <c r="D78">
        <v>116</v>
      </c>
    </row>
    <row r="79" spans="1:4" ht="12.75">
      <c r="A79" s="19">
        <f t="shared" si="62"/>
        <v>55</v>
      </c>
      <c r="B79" s="27">
        <f ca="1" t="shared" si="55"/>
        <v>0.007349706803868066</v>
      </c>
      <c r="C79" s="27">
        <f t="shared" si="56"/>
        <v>0.00691434886298931</v>
      </c>
      <c r="D79">
        <v>117</v>
      </c>
    </row>
    <row r="80" spans="1:4" ht="12.75">
      <c r="A80" s="19">
        <f t="shared" si="62"/>
        <v>60</v>
      </c>
      <c r="B80" s="27">
        <f ca="1" t="shared" si="55"/>
        <v>0.011287959771207194</v>
      </c>
      <c r="C80" s="27">
        <f t="shared" si="56"/>
        <v>0.010684951191994568</v>
      </c>
      <c r="D80">
        <v>118</v>
      </c>
    </row>
    <row r="81" spans="1:4" ht="12.75">
      <c r="A81" s="19">
        <f t="shared" si="62"/>
        <v>65</v>
      </c>
      <c r="B81" s="27">
        <f ca="1" t="shared" si="55"/>
        <v>0.018912128461352574</v>
      </c>
      <c r="C81" s="27">
        <f t="shared" si="56"/>
        <v>0.018027202855621483</v>
      </c>
      <c r="D81">
        <v>119</v>
      </c>
    </row>
    <row r="82" spans="1:4" ht="12.75">
      <c r="A82" s="19">
        <f t="shared" si="62"/>
        <v>70</v>
      </c>
      <c r="B82" s="27">
        <f ca="1" t="shared" si="55"/>
        <v>0.03138667774970237</v>
      </c>
      <c r="C82" s="27">
        <f t="shared" si="56"/>
        <v>0.03006226081765541</v>
      </c>
      <c r="D82">
        <v>120</v>
      </c>
    </row>
    <row r="83" spans="1:4" ht="12.75">
      <c r="A83" s="19">
        <f t="shared" si="62"/>
        <v>75</v>
      </c>
      <c r="B83" s="27">
        <f ca="1" t="shared" si="55"/>
        <v>0.05331667396914748</v>
      </c>
      <c r="C83" s="27">
        <f t="shared" si="56"/>
        <v>0.051234942498182424</v>
      </c>
      <c r="D83">
        <v>121</v>
      </c>
    </row>
    <row r="84" spans="1:4" ht="12.75">
      <c r="A84" s="19">
        <f t="shared" si="62"/>
        <v>80</v>
      </c>
      <c r="B84" s="27">
        <f ca="1" t="shared" si="55"/>
        <v>0.09539100570086437</v>
      </c>
      <c r="C84" s="27">
        <f t="shared" si="56"/>
        <v>0.09261363719409033</v>
      </c>
      <c r="D84">
        <v>122</v>
      </c>
    </row>
    <row r="85" spans="1:4" ht="12.75">
      <c r="A85" s="19">
        <f t="shared" si="62"/>
        <v>85</v>
      </c>
      <c r="B85" s="27">
        <f ca="1" t="shared" si="55"/>
        <v>0</v>
      </c>
      <c r="C85" s="27">
        <f t="shared" si="56"/>
        <v>0</v>
      </c>
      <c r="D85">
        <v>123</v>
      </c>
    </row>
    <row r="86" ht="12.75">
      <c r="D86">
        <v>124</v>
      </c>
    </row>
    <row r="87" spans="1:4" ht="12.75">
      <c r="A87" s="16" t="s">
        <v>38</v>
      </c>
      <c r="B87" s="2">
        <f ca="1" t="shared" si="63" ref="B87:B94">INDIRECT("Calculate!"&amp;B$8&amp;$D87)</f>
        <v>13.904880758882555</v>
      </c>
      <c r="C87" s="2">
        <f aca="true" t="shared" si="64" ref="C87:C94">O69</f>
        <v>13.904880758882555</v>
      </c>
      <c r="D87">
        <v>125</v>
      </c>
    </row>
    <row r="88" spans="1:4" ht="12.75">
      <c r="A88" s="16" t="s">
        <v>39</v>
      </c>
      <c r="B88" s="2">
        <f ca="1" t="shared" si="63"/>
        <v>101.47526232273118</v>
      </c>
      <c r="C88" s="2">
        <f t="shared" si="64"/>
        <v>101.47526232273118</v>
      </c>
      <c r="D88">
        <v>126</v>
      </c>
    </row>
    <row r="89" spans="1:4" ht="12.75">
      <c r="A89" s="16" t="s">
        <v>40</v>
      </c>
      <c r="B89" s="2">
        <f ca="1" t="shared" si="63"/>
        <v>87.76450306285045</v>
      </c>
      <c r="C89" s="2">
        <f t="shared" si="64"/>
        <v>87.76450306285045</v>
      </c>
      <c r="D89">
        <v>127</v>
      </c>
    </row>
    <row r="90" spans="1:4" ht="12.75">
      <c r="A90" s="16" t="s">
        <v>41</v>
      </c>
      <c r="B90" s="2">
        <f ca="1" t="shared" si="63"/>
        <v>51.544845044953775</v>
      </c>
      <c r="C90" s="2">
        <f t="shared" si="64"/>
        <v>51.544845044953775</v>
      </c>
      <c r="D90">
        <v>128</v>
      </c>
    </row>
    <row r="91" spans="1:4" ht="12.75">
      <c r="A91" s="16" t="s">
        <v>42</v>
      </c>
      <c r="B91" s="2">
        <f ca="1" t="shared" si="63"/>
        <v>20.618599459508477</v>
      </c>
      <c r="C91" s="2">
        <f t="shared" si="64"/>
        <v>20.618599459508477</v>
      </c>
      <c r="D91">
        <v>129</v>
      </c>
    </row>
    <row r="92" spans="1:4" ht="12.75">
      <c r="A92" s="16" t="s">
        <v>43</v>
      </c>
      <c r="B92" s="2">
        <f ca="1" t="shared" si="63"/>
        <v>3.790030150012074</v>
      </c>
      <c r="C92" s="2">
        <f t="shared" si="64"/>
        <v>3.790030150012074</v>
      </c>
      <c r="D92">
        <v>130</v>
      </c>
    </row>
    <row r="93" spans="1:4" ht="12.75">
      <c r="A93" s="16" t="s">
        <v>44</v>
      </c>
      <c r="B93" s="2">
        <f ca="1" t="shared" si="63"/>
        <v>0.10187517915576934</v>
      </c>
      <c r="C93" s="2">
        <f t="shared" si="64"/>
        <v>0.10187517915576934</v>
      </c>
      <c r="D93">
        <v>131</v>
      </c>
    </row>
    <row r="94" spans="1:4" ht="12.75">
      <c r="A94" s="16" t="s">
        <v>45</v>
      </c>
      <c r="B94" s="2">
        <f ca="1" t="shared" si="63"/>
        <v>2.5352042761323902E-09</v>
      </c>
      <c r="C94" s="2">
        <f t="shared" si="64"/>
        <v>2.5352042761323902E-09</v>
      </c>
      <c r="D94">
        <v>132</v>
      </c>
    </row>
    <row r="95" ht="12.75">
      <c r="D95">
        <v>133</v>
      </c>
    </row>
    <row r="96" spans="4:8" ht="12.75">
      <c r="D96">
        <v>134</v>
      </c>
      <c r="F96" t="s">
        <v>55</v>
      </c>
      <c r="G96" s="2">
        <f ca="1" t="shared" si="65" ref="G96:G103">INDIRECT("Calculate!"&amp;C$8&amp;$H96)</f>
        <v>0.516</v>
      </c>
      <c r="H96">
        <v>221</v>
      </c>
    </row>
    <row r="97" spans="1:13" ht="12.75">
      <c r="A97" t="s">
        <v>56</v>
      </c>
      <c r="D97">
        <v>135</v>
      </c>
      <c r="G97" s="2">
        <f ca="1" t="shared" si="65"/>
        <v>0</v>
      </c>
      <c r="H97">
        <v>222</v>
      </c>
      <c r="J97" s="2">
        <f>G99</f>
        <v>0.3566283464447222</v>
      </c>
      <c r="K97">
        <v>15</v>
      </c>
      <c r="L97">
        <f>IF(J97=0,1,K97/J97)</f>
        <v>42.06059375127383</v>
      </c>
      <c r="M97">
        <f>1-L97</f>
        <v>-41.06059375127383</v>
      </c>
    </row>
    <row r="98" spans="1:13" ht="12.75">
      <c r="A98" t="s">
        <v>57</v>
      </c>
      <c r="B98" s="2"/>
      <c r="C98" s="2"/>
      <c r="D98">
        <v>136</v>
      </c>
      <c r="F98" t="s">
        <v>58</v>
      </c>
      <c r="G98" s="2">
        <f ca="1" t="shared" si="65"/>
        <v>108.10926486908083</v>
      </c>
      <c r="H98">
        <v>223</v>
      </c>
      <c r="K98" s="2"/>
      <c r="L98">
        <f>MIN(L97,1)</f>
        <v>1</v>
      </c>
      <c r="M98">
        <f>MAX(M97,0)</f>
        <v>0</v>
      </c>
    </row>
    <row r="99" spans="1:11" ht="12.75">
      <c r="A99" s="13" t="s">
        <v>21</v>
      </c>
      <c r="B99" s="2">
        <f ca="1" t="shared" si="66" ref="B99:B116">INDIRECT("Calculate!"&amp;B$8&amp;$D99)</f>
        <v>1.7397063091973985</v>
      </c>
      <c r="C99" s="2">
        <f aca="true" t="shared" si="67" ref="C99:C116">B99*$L$98+K99*$M$98</f>
        <v>1.7397063091973985</v>
      </c>
      <c r="D99">
        <v>137</v>
      </c>
      <c r="F99" s="14" t="s">
        <v>59</v>
      </c>
      <c r="G99" s="2">
        <f ca="1" t="shared" si="65"/>
        <v>0.3566283464447222</v>
      </c>
      <c r="H99">
        <v>224</v>
      </c>
      <c r="J99" s="13" t="s">
        <v>21</v>
      </c>
      <c r="K99" s="2">
        <v>1.27768250290775</v>
      </c>
    </row>
    <row r="100" spans="1:11" ht="12.75">
      <c r="A100" s="16" t="s">
        <v>33</v>
      </c>
      <c r="B100" s="2">
        <f ca="1" t="shared" si="66"/>
        <v>1.568126520222322</v>
      </c>
      <c r="C100" s="2">
        <f t="shared" si="67"/>
        <v>1.568126520222322</v>
      </c>
      <c r="D100">
        <v>138</v>
      </c>
      <c r="G100" s="2">
        <f ca="1" t="shared" si="65"/>
        <v>0</v>
      </c>
      <c r="H100">
        <v>225</v>
      </c>
      <c r="J100" s="16" t="s">
        <v>33</v>
      </c>
      <c r="K100" s="2">
        <v>1.27768250290775</v>
      </c>
    </row>
    <row r="101" spans="1:11" ht="12.75">
      <c r="A101" s="16" t="s">
        <v>37</v>
      </c>
      <c r="B101" s="2">
        <f ca="1" t="shared" si="66"/>
        <v>1.210237926236678</v>
      </c>
      <c r="C101" s="2">
        <f t="shared" si="67"/>
        <v>1.210237926236678</v>
      </c>
      <c r="D101">
        <v>139</v>
      </c>
      <c r="G101" s="2">
        <f ca="1" t="shared" si="65"/>
        <v>0</v>
      </c>
      <c r="H101">
        <v>226</v>
      </c>
      <c r="J101" s="16" t="s">
        <v>37</v>
      </c>
      <c r="K101" s="2">
        <v>1.27768250290775</v>
      </c>
    </row>
    <row r="102" spans="1:11" ht="12.75">
      <c r="A102" s="16" t="s">
        <v>38</v>
      </c>
      <c r="B102" s="2">
        <f ca="1" t="shared" si="66"/>
        <v>1.4792462107345767</v>
      </c>
      <c r="C102" s="2">
        <f t="shared" si="67"/>
        <v>1.4792462107345767</v>
      </c>
      <c r="D102">
        <v>140</v>
      </c>
      <c r="F102" s="14" t="s">
        <v>59</v>
      </c>
      <c r="G102" s="2">
        <f ca="1" t="shared" si="65"/>
        <v>0.35705333626729546</v>
      </c>
      <c r="H102">
        <v>227</v>
      </c>
      <c r="J102" s="16" t="s">
        <v>38</v>
      </c>
      <c r="K102" s="2">
        <v>1.27768250290775</v>
      </c>
    </row>
    <row r="103" spans="1:11" ht="12.75">
      <c r="A103" s="16" t="s">
        <v>39</v>
      </c>
      <c r="B103" s="2">
        <f ca="1" t="shared" si="66"/>
        <v>2.1698459126563447</v>
      </c>
      <c r="C103" s="2">
        <f t="shared" si="67"/>
        <v>2.1698459126563447</v>
      </c>
      <c r="D103">
        <v>141</v>
      </c>
      <c r="G103" s="2">
        <f ca="1" t="shared" si="65"/>
        <v>0</v>
      </c>
      <c r="H103">
        <v>228</v>
      </c>
      <c r="J103" s="16" t="s">
        <v>39</v>
      </c>
      <c r="K103" s="2">
        <v>1.27768250290775</v>
      </c>
    </row>
    <row r="104" spans="1:11" ht="12.75">
      <c r="A104" s="16" t="s">
        <v>40</v>
      </c>
      <c r="B104" s="2">
        <f ca="1" t="shared" si="66"/>
        <v>2.3638947854104484</v>
      </c>
      <c r="C104" s="2">
        <f t="shared" si="67"/>
        <v>2.3638947854104484</v>
      </c>
      <c r="D104">
        <v>142</v>
      </c>
      <c r="H104">
        <v>229</v>
      </c>
      <c r="J104" s="16" t="s">
        <v>40</v>
      </c>
      <c r="K104" s="2">
        <v>1.27768250290775</v>
      </c>
    </row>
    <row r="105" spans="1:11" ht="12.75">
      <c r="A105" s="16" t="s">
        <v>41</v>
      </c>
      <c r="B105" s="2">
        <f ca="1" t="shared" si="66"/>
        <v>2.1350046833105614</v>
      </c>
      <c r="C105" s="2">
        <f t="shared" si="67"/>
        <v>2.1350046833105614</v>
      </c>
      <c r="D105">
        <v>143</v>
      </c>
      <c r="F105" s="28" t="s">
        <v>60</v>
      </c>
      <c r="G105" s="2">
        <f ca="1" t="shared" si="68" ref="G105:G111">INDIRECT("Calculate!"&amp;C$8&amp;$H105)</f>
        <v>1.396</v>
      </c>
      <c r="H105">
        <v>230</v>
      </c>
      <c r="J105" s="16" t="s">
        <v>41</v>
      </c>
      <c r="K105" s="2">
        <v>1.27768250290775</v>
      </c>
    </row>
    <row r="106" spans="1:11" ht="12.75">
      <c r="A106" s="16" t="s">
        <v>42</v>
      </c>
      <c r="B106" s="2">
        <f ca="1" t="shared" si="66"/>
        <v>1.7458191502404485</v>
      </c>
      <c r="C106" s="2">
        <f t="shared" si="67"/>
        <v>1.7458191502404485</v>
      </c>
      <c r="D106">
        <v>144</v>
      </c>
      <c r="F106" s="28" t="s">
        <v>61</v>
      </c>
      <c r="G106" s="2">
        <f ca="1" t="shared" si="68"/>
        <v>27.05722678122877</v>
      </c>
      <c r="H106">
        <v>231</v>
      </c>
      <c r="J106" s="16" t="s">
        <v>42</v>
      </c>
      <c r="K106" s="2">
        <v>1.27768250290775</v>
      </c>
    </row>
    <row r="107" spans="1:11" ht="12.75">
      <c r="A107" s="16" t="s">
        <v>43</v>
      </c>
      <c r="B107" s="2">
        <f ca="1" t="shared" si="66"/>
        <v>1.3935298508670113</v>
      </c>
      <c r="C107" s="2">
        <f t="shared" si="67"/>
        <v>1.3935298508670113</v>
      </c>
      <c r="D107">
        <v>145</v>
      </c>
      <c r="F107" s="28" t="s">
        <v>62</v>
      </c>
      <c r="G107" s="2">
        <f ca="1" t="shared" si="68"/>
        <v>66.06658016652212</v>
      </c>
      <c r="H107">
        <v>232</v>
      </c>
      <c r="J107" s="16" t="s">
        <v>43</v>
      </c>
      <c r="K107" s="2">
        <v>1.27768250290775</v>
      </c>
    </row>
    <row r="108" spans="1:11" ht="12.75">
      <c r="A108" s="16" t="s">
        <v>44</v>
      </c>
      <c r="B108" s="2">
        <f ca="1" t="shared" si="66"/>
        <v>1.1563921874702394</v>
      </c>
      <c r="C108" s="2">
        <f t="shared" si="67"/>
        <v>1.1563921874702394</v>
      </c>
      <c r="D108">
        <v>146</v>
      </c>
      <c r="F108" s="28" t="s">
        <v>63</v>
      </c>
      <c r="G108" s="2">
        <f ca="1" t="shared" si="68"/>
        <v>77.49136083785883</v>
      </c>
      <c r="H108">
        <v>233</v>
      </c>
      <c r="J108" s="16" t="s">
        <v>44</v>
      </c>
      <c r="K108" s="2">
        <v>1.27768250290775</v>
      </c>
    </row>
    <row r="109" spans="1:11" ht="12.75">
      <c r="A109" s="16" t="s">
        <v>45</v>
      </c>
      <c r="B109" s="2">
        <f ca="1" t="shared" si="66"/>
        <v>1.0174209682062219</v>
      </c>
      <c r="C109" s="2">
        <f t="shared" si="67"/>
        <v>1.0174209682062219</v>
      </c>
      <c r="D109">
        <v>147</v>
      </c>
      <c r="F109" s="28" t="s">
        <v>64</v>
      </c>
      <c r="G109" s="2">
        <f ca="1" t="shared" si="68"/>
        <v>3.8784918822458976</v>
      </c>
      <c r="H109">
        <v>234</v>
      </c>
      <c r="J109" s="16" t="s">
        <v>45</v>
      </c>
      <c r="K109" s="2">
        <v>1.27768250290775</v>
      </c>
    </row>
    <row r="110" spans="1:11" ht="12.75">
      <c r="A110" s="16" t="s">
        <v>46</v>
      </c>
      <c r="B110" s="2">
        <f ca="1" t="shared" si="66"/>
        <v>0.9603734937870518</v>
      </c>
      <c r="C110" s="2">
        <f t="shared" si="67"/>
        <v>0.9603734937870518</v>
      </c>
      <c r="D110">
        <v>148</v>
      </c>
      <c r="G110" s="2">
        <f ca="1" t="shared" si="68"/>
        <v>0</v>
      </c>
      <c r="H110">
        <v>235</v>
      </c>
      <c r="J110" s="16" t="s">
        <v>46</v>
      </c>
      <c r="K110" s="2">
        <v>1.27768250290775</v>
      </c>
    </row>
    <row r="111" spans="1:11" ht="12.75">
      <c r="A111" s="16" t="s">
        <v>47</v>
      </c>
      <c r="B111" s="2">
        <f ca="1" t="shared" si="66"/>
        <v>0.9516972590511616</v>
      </c>
      <c r="C111" s="2">
        <f t="shared" si="67"/>
        <v>0.9516972590511616</v>
      </c>
      <c r="D111">
        <v>149</v>
      </c>
      <c r="G111" s="2">
        <f ca="1" t="shared" si="68"/>
        <v>0</v>
      </c>
      <c r="H111">
        <v>236</v>
      </c>
      <c r="J111" s="16" t="s">
        <v>47</v>
      </c>
      <c r="K111" s="2">
        <v>1.27768250290775</v>
      </c>
    </row>
    <row r="112" spans="1:11" ht="12.75">
      <c r="A112" s="16" t="s">
        <v>48</v>
      </c>
      <c r="B112" s="2">
        <f ca="1" t="shared" si="66"/>
        <v>0.7817975327145569</v>
      </c>
      <c r="C112" s="2">
        <f t="shared" si="67"/>
        <v>0.7817975327145569</v>
      </c>
      <c r="D112">
        <v>150</v>
      </c>
      <c r="J112" s="16" t="s">
        <v>48</v>
      </c>
      <c r="K112" s="2">
        <v>1.27768250290775</v>
      </c>
    </row>
    <row r="113" spans="1:11" ht="12.75">
      <c r="A113" s="16" t="s">
        <v>49</v>
      </c>
      <c r="B113" s="2">
        <f ca="1" t="shared" si="66"/>
        <v>0.7629420944382048</v>
      </c>
      <c r="C113" s="2">
        <f t="shared" si="67"/>
        <v>0.7629420944382048</v>
      </c>
      <c r="D113">
        <v>151</v>
      </c>
      <c r="J113" s="16" t="s">
        <v>49</v>
      </c>
      <c r="K113" s="2">
        <v>1.27768250290775</v>
      </c>
    </row>
    <row r="114" spans="1:11" ht="12.75">
      <c r="A114" s="16" t="s">
        <v>50</v>
      </c>
      <c r="B114" s="2">
        <f ca="1" t="shared" si="66"/>
        <v>0.8824970212317332</v>
      </c>
      <c r="C114" s="2">
        <f t="shared" si="67"/>
        <v>0.8824970212317332</v>
      </c>
      <c r="D114">
        <v>152</v>
      </c>
      <c r="J114" s="16" t="s">
        <v>50</v>
      </c>
      <c r="K114" s="2">
        <v>1.27768250290775</v>
      </c>
    </row>
    <row r="115" spans="1:11" ht="12.75">
      <c r="A115" s="16" t="s">
        <v>65</v>
      </c>
      <c r="B115" s="2">
        <f ca="1" t="shared" si="66"/>
        <v>0.8492096503986851</v>
      </c>
      <c r="C115" s="2">
        <f t="shared" si="67"/>
        <v>0.8492096503986851</v>
      </c>
      <c r="D115">
        <v>153</v>
      </c>
      <c r="J115" s="16" t="s">
        <v>65</v>
      </c>
      <c r="K115" s="2">
        <v>1.27768250290775</v>
      </c>
    </row>
    <row r="116" spans="1:11" ht="12.75">
      <c r="A116" s="16" t="s">
        <v>66</v>
      </c>
      <c r="B116" s="2">
        <f ca="1" t="shared" si="66"/>
        <v>0.9079677267309716</v>
      </c>
      <c r="C116" s="2">
        <f t="shared" si="67"/>
        <v>0.9079677267309716</v>
      </c>
      <c r="D116">
        <v>154</v>
      </c>
      <c r="J116" s="16" t="s">
        <v>66</v>
      </c>
      <c r="K116" s="2">
        <v>1.27768250290775</v>
      </c>
    </row>
    <row r="117" spans="3:11" ht="12.75">
      <c r="C117" s="2"/>
      <c r="D117">
        <v>155</v>
      </c>
      <c r="K117" s="2"/>
    </row>
    <row r="118" spans="3:11" ht="12.75">
      <c r="C118" s="2"/>
      <c r="D118">
        <v>156</v>
      </c>
      <c r="K118" s="2"/>
    </row>
    <row r="119" spans="1:11" ht="12.75">
      <c r="A119" s="9" t="s">
        <v>67</v>
      </c>
      <c r="C119" s="2"/>
      <c r="D119">
        <v>157</v>
      </c>
      <c r="J119" s="9" t="s">
        <v>67</v>
      </c>
      <c r="K119" s="2"/>
    </row>
    <row r="120" spans="1:11" ht="12.75">
      <c r="A120" s="13" t="s">
        <v>21</v>
      </c>
      <c r="B120" s="2">
        <f ca="1" t="shared" si="69" ref="B120:B137">INDIRECT("Calculate!"&amp;B$8&amp;$D120)</f>
        <v>1.743013869343289</v>
      </c>
      <c r="C120" s="2">
        <f aca="true" t="shared" si="70" ref="C120:C137">B120*$L$98+K120*$M$98</f>
        <v>1.743013869343289</v>
      </c>
      <c r="D120">
        <v>158</v>
      </c>
      <c r="J120" s="13" t="s">
        <v>21</v>
      </c>
      <c r="K120" s="2">
        <v>1.27768250290775</v>
      </c>
    </row>
    <row r="121" spans="1:11" ht="12.75">
      <c r="A121" s="16" t="s">
        <v>33</v>
      </c>
      <c r="B121" s="2">
        <f ca="1" t="shared" si="69"/>
        <v>1.5781155732481018</v>
      </c>
      <c r="C121" s="2">
        <f t="shared" si="70"/>
        <v>1.5781155732481018</v>
      </c>
      <c r="D121">
        <v>159</v>
      </c>
      <c r="J121" s="16" t="s">
        <v>33</v>
      </c>
      <c r="K121" s="2">
        <v>1.27768250290775</v>
      </c>
    </row>
    <row r="122" spans="1:11" ht="12.75">
      <c r="A122" s="16" t="s">
        <v>37</v>
      </c>
      <c r="B122" s="2">
        <f ca="1" t="shared" si="69"/>
        <v>1.1825239402237657</v>
      </c>
      <c r="C122" s="2">
        <f t="shared" si="70"/>
        <v>1.1825239402237657</v>
      </c>
      <c r="D122">
        <v>160</v>
      </c>
      <c r="J122" s="16" t="s">
        <v>37</v>
      </c>
      <c r="K122" s="2">
        <v>1.27768250290775</v>
      </c>
    </row>
    <row r="123" spans="1:11" ht="12.75">
      <c r="A123" s="16" t="s">
        <v>38</v>
      </c>
      <c r="B123" s="2">
        <f ca="1" t="shared" si="69"/>
        <v>1.5080339738186403</v>
      </c>
      <c r="C123" s="2">
        <f t="shared" si="70"/>
        <v>1.5080339738186403</v>
      </c>
      <c r="D123">
        <v>161</v>
      </c>
      <c r="J123" s="16" t="s">
        <v>38</v>
      </c>
      <c r="K123" s="2">
        <v>1.27768250290775</v>
      </c>
    </row>
    <row r="124" spans="1:11" ht="12.75">
      <c r="A124" s="16" t="s">
        <v>39</v>
      </c>
      <c r="B124" s="2">
        <f ca="1" t="shared" si="69"/>
        <v>2.1996574982733654</v>
      </c>
      <c r="C124" s="2">
        <f t="shared" si="70"/>
        <v>2.1996574982733654</v>
      </c>
      <c r="D124">
        <v>162</v>
      </c>
      <c r="J124" s="16" t="s">
        <v>39</v>
      </c>
      <c r="K124" s="2">
        <v>1.27768250290775</v>
      </c>
    </row>
    <row r="125" spans="1:11" ht="12.75">
      <c r="A125" s="16" t="s">
        <v>40</v>
      </c>
      <c r="B125" s="2">
        <f ca="1" t="shared" si="69"/>
        <v>2.173184412761089</v>
      </c>
      <c r="C125" s="2">
        <f t="shared" si="70"/>
        <v>2.173184412761089</v>
      </c>
      <c r="D125">
        <v>163</v>
      </c>
      <c r="J125" s="16" t="s">
        <v>40</v>
      </c>
      <c r="K125" s="2">
        <v>1.27768250290775</v>
      </c>
    </row>
    <row r="126" spans="1:11" ht="12.75">
      <c r="A126" s="16" t="s">
        <v>41</v>
      </c>
      <c r="B126" s="2">
        <f ca="1" t="shared" si="69"/>
        <v>1.767212549405433</v>
      </c>
      <c r="C126" s="2">
        <f t="shared" si="70"/>
        <v>1.767212549405433</v>
      </c>
      <c r="D126">
        <v>164</v>
      </c>
      <c r="J126" s="16" t="s">
        <v>41</v>
      </c>
      <c r="K126" s="2">
        <v>1.27768250290775</v>
      </c>
    </row>
    <row r="127" spans="1:11" ht="12.75">
      <c r="A127" s="16" t="s">
        <v>42</v>
      </c>
      <c r="B127" s="2">
        <f ca="1" t="shared" si="69"/>
        <v>1.4085489871797519</v>
      </c>
      <c r="C127" s="2">
        <f t="shared" si="70"/>
        <v>1.4085489871797519</v>
      </c>
      <c r="D127">
        <v>165</v>
      </c>
      <c r="J127" s="16" t="s">
        <v>42</v>
      </c>
      <c r="K127" s="2">
        <v>1.27768250290775</v>
      </c>
    </row>
    <row r="128" spans="1:11" ht="12.75">
      <c r="A128" s="16" t="s">
        <v>43</v>
      </c>
      <c r="B128" s="2">
        <f ca="1" t="shared" si="69"/>
        <v>1.0685310300421083</v>
      </c>
      <c r="C128" s="2">
        <f t="shared" si="70"/>
        <v>1.0685310300421083</v>
      </c>
      <c r="D128">
        <v>166</v>
      </c>
      <c r="J128" s="16" t="s">
        <v>43</v>
      </c>
      <c r="K128" s="2">
        <v>1.27768250290775</v>
      </c>
    </row>
    <row r="129" spans="1:11" ht="12.75">
      <c r="A129" s="16" t="s">
        <v>44</v>
      </c>
      <c r="B129" s="2">
        <f ca="1" t="shared" si="69"/>
        <v>0.8958081448281718</v>
      </c>
      <c r="C129" s="2">
        <f t="shared" si="70"/>
        <v>0.8958081448281718</v>
      </c>
      <c r="D129">
        <v>167</v>
      </c>
      <c r="J129" s="16" t="s">
        <v>44</v>
      </c>
      <c r="K129" s="2">
        <v>1.27768250290775</v>
      </c>
    </row>
    <row r="130" spans="1:11" ht="12.75">
      <c r="A130" s="16" t="s">
        <v>45</v>
      </c>
      <c r="B130" s="2">
        <f ca="1" t="shared" si="69"/>
        <v>0.831421371290805</v>
      </c>
      <c r="C130" s="2">
        <f t="shared" si="70"/>
        <v>0.831421371290805</v>
      </c>
      <c r="D130">
        <v>168</v>
      </c>
      <c r="J130" s="16" t="s">
        <v>45</v>
      </c>
      <c r="K130" s="2">
        <v>1.27768250290775</v>
      </c>
    </row>
    <row r="131" spans="1:11" ht="12.75">
      <c r="A131" s="16" t="s">
        <v>46</v>
      </c>
      <c r="B131" s="2">
        <f ca="1" t="shared" si="69"/>
        <v>0.8801687018274746</v>
      </c>
      <c r="C131" s="2">
        <f t="shared" si="70"/>
        <v>0.8801687018274746</v>
      </c>
      <c r="D131">
        <v>169</v>
      </c>
      <c r="J131" s="16" t="s">
        <v>46</v>
      </c>
      <c r="K131" s="2">
        <v>1.27768250290775</v>
      </c>
    </row>
    <row r="132" spans="1:11" ht="12.75">
      <c r="A132" s="16" t="s">
        <v>47</v>
      </c>
      <c r="B132" s="2">
        <f ca="1" t="shared" si="69"/>
        <v>0.8374940529262677</v>
      </c>
      <c r="C132" s="2">
        <f t="shared" si="70"/>
        <v>0.8374940529262677</v>
      </c>
      <c r="D132">
        <v>170</v>
      </c>
      <c r="J132" s="16" t="s">
        <v>47</v>
      </c>
      <c r="K132" s="2">
        <v>1.27768250290775</v>
      </c>
    </row>
    <row r="133" spans="1:11" ht="12.75">
      <c r="A133" s="16" t="s">
        <v>48</v>
      </c>
      <c r="B133" s="2">
        <f ca="1" t="shared" si="69"/>
        <v>0.7053864626791344</v>
      </c>
      <c r="C133" s="2">
        <f t="shared" si="70"/>
        <v>0.7053864626791344</v>
      </c>
      <c r="D133">
        <v>171</v>
      </c>
      <c r="J133" s="16" t="s">
        <v>48</v>
      </c>
      <c r="K133" s="2">
        <v>1.27768250290775</v>
      </c>
    </row>
    <row r="134" spans="1:11" ht="12.75">
      <c r="A134" s="16" t="s">
        <v>49</v>
      </c>
      <c r="B134" s="2">
        <f ca="1" t="shared" si="69"/>
        <v>0.7389705440610475</v>
      </c>
      <c r="C134" s="2">
        <f t="shared" si="70"/>
        <v>0.7389705440610475</v>
      </c>
      <c r="D134">
        <v>172</v>
      </c>
      <c r="J134" s="16" t="s">
        <v>49</v>
      </c>
      <c r="K134" s="2">
        <v>1.27768250290775</v>
      </c>
    </row>
    <row r="135" spans="1:11" ht="12.75">
      <c r="A135" s="16" t="s">
        <v>50</v>
      </c>
      <c r="B135" s="2">
        <f ca="1" t="shared" si="69"/>
        <v>0.8303611786897523</v>
      </c>
      <c r="C135" s="2">
        <f t="shared" si="70"/>
        <v>0.8303611786897523</v>
      </c>
      <c r="D135">
        <v>173</v>
      </c>
      <c r="J135" s="16" t="s">
        <v>50</v>
      </c>
      <c r="K135" s="2">
        <v>1.27768250290775</v>
      </c>
    </row>
    <row r="136" spans="1:11" ht="12.75">
      <c r="A136" s="16" t="s">
        <v>65</v>
      </c>
      <c r="B136" s="2">
        <f ca="1" t="shared" si="69"/>
        <v>0.818089853375454</v>
      </c>
      <c r="C136" s="2">
        <f t="shared" si="70"/>
        <v>0.818089853375454</v>
      </c>
      <c r="D136">
        <v>174</v>
      </c>
      <c r="J136" s="16" t="s">
        <v>65</v>
      </c>
      <c r="K136" s="2">
        <v>1.27768250290775</v>
      </c>
    </row>
    <row r="137" spans="1:11" ht="12.75">
      <c r="A137" s="16" t="s">
        <v>66</v>
      </c>
      <c r="B137" s="2">
        <f ca="1" t="shared" si="69"/>
        <v>0.7543386778008632</v>
      </c>
      <c r="C137" s="2">
        <f t="shared" si="70"/>
        <v>0.7543386778008632</v>
      </c>
      <c r="D137">
        <v>175</v>
      </c>
      <c r="J137" s="16" t="s">
        <v>66</v>
      </c>
      <c r="K137" s="2">
        <v>1.27768250290775</v>
      </c>
    </row>
    <row r="138" spans="3:9" ht="12.75">
      <c r="C138" s="2"/>
      <c r="D138">
        <v>176</v>
      </c>
      <c r="F138" s="3">
        <f>G98</f>
        <v>108.10926486908083</v>
      </c>
      <c r="G138" s="3">
        <f>VLOOKUP(A1,$AK$1:$AO$10,5)</f>
        <v>109.10926486908083</v>
      </c>
      <c r="H138">
        <f>IF(F138&gt;0,G138/F138,1)</f>
        <v>1.0092499010256983</v>
      </c>
      <c r="I138">
        <f>1-H138</f>
        <v>-0.009249901025698337</v>
      </c>
    </row>
    <row r="139" spans="1:11" ht="12.75">
      <c r="A139" t="s">
        <v>68</v>
      </c>
      <c r="C139" s="2"/>
      <c r="D139">
        <v>177</v>
      </c>
      <c r="J139">
        <f>MIN(H138,1)</f>
        <v>1</v>
      </c>
      <c r="K139">
        <f>MAX(I138,0)</f>
        <v>0</v>
      </c>
    </row>
    <row r="140" spans="1:9" ht="12.75">
      <c r="A140" t="s">
        <v>57</v>
      </c>
      <c r="C140" s="2"/>
      <c r="D140">
        <v>178</v>
      </c>
      <c r="G140" s="6" t="str">
        <f>IF(A1=2006,H140,B8)</f>
        <v>AX</v>
      </c>
      <c r="H140" s="6" t="str">
        <f>C8</f>
        <v>BD</v>
      </c>
      <c r="I140" s="2">
        <f>SUM(I141:I179)</f>
        <v>1002.7012904817836</v>
      </c>
    </row>
    <row r="141" spans="1:11" ht="12.75">
      <c r="A141" s="13" t="s">
        <v>21</v>
      </c>
      <c r="B141" s="2">
        <f ca="1" t="shared" si="71" ref="B141:B158">INDIRECT("Calculate!"&amp;B$8&amp;$D141)</f>
        <v>28.802528326741786</v>
      </c>
      <c r="C141" s="2">
        <f aca="true" t="shared" si="72" ref="C141:C158">$J$139*J141+$K$139*K141</f>
        <v>28.283503861186094</v>
      </c>
      <c r="D141">
        <v>179</v>
      </c>
      <c r="F141">
        <v>5</v>
      </c>
      <c r="G141">
        <f ca="1" t="shared" si="73" ref="G141:H158">INDIRECT($B$7&amp;G$140&amp;$F141)</f>
        <v>2552281.4147396735</v>
      </c>
      <c r="H141">
        <f ca="1" t="shared" si="73"/>
        <v>2513059.2609605878</v>
      </c>
      <c r="I141" s="2">
        <f aca="true" t="shared" si="74" ref="I141:I158">B141/G141*H141</f>
        <v>28.35990582095781</v>
      </c>
      <c r="J141" s="2">
        <f aca="true" t="shared" si="75" ref="J141:J158">I141/$I$140*1000</f>
        <v>28.283503861186094</v>
      </c>
      <c r="K141" s="2">
        <v>28.78913225699414</v>
      </c>
    </row>
    <row r="142" spans="1:11" ht="12.75">
      <c r="A142" s="16" t="s">
        <v>33</v>
      </c>
      <c r="B142" s="2">
        <f ca="1" t="shared" si="71"/>
        <v>34.83579989965287</v>
      </c>
      <c r="C142" s="2">
        <f t="shared" si="72"/>
        <v>35.700771646715516</v>
      </c>
      <c r="D142">
        <v>180</v>
      </c>
      <c r="F142">
        <v>6</v>
      </c>
      <c r="G142">
        <f ca="1" t="shared" si="73"/>
        <v>2647049.0592565844</v>
      </c>
      <c r="H142">
        <f ca="1" t="shared" si="73"/>
        <v>2720103.192739868</v>
      </c>
      <c r="I142" s="2">
        <f t="shared" si="74"/>
        <v>35.79720980135712</v>
      </c>
      <c r="J142" s="2">
        <f t="shared" si="75"/>
        <v>35.700771646715516</v>
      </c>
      <c r="K142" s="2">
        <v>34.76684205082958</v>
      </c>
    </row>
    <row r="143" spans="1:11" ht="12.75">
      <c r="A143" s="16" t="s">
        <v>37</v>
      </c>
      <c r="B143" s="2">
        <f ca="1" t="shared" si="71"/>
        <v>31.99192793771851</v>
      </c>
      <c r="C143" s="2">
        <f t="shared" si="72"/>
        <v>33.39074274537293</v>
      </c>
      <c r="D143">
        <v>181</v>
      </c>
      <c r="F143">
        <v>7</v>
      </c>
      <c r="G143">
        <f ca="1" t="shared" si="73"/>
        <v>2697786.9207704314</v>
      </c>
      <c r="H143">
        <f ca="1" t="shared" si="73"/>
        <v>2823351.080047251</v>
      </c>
      <c r="I143" s="2">
        <f t="shared" si="74"/>
        <v>33.48094084093069</v>
      </c>
      <c r="J143" s="2">
        <f t="shared" si="75"/>
        <v>33.39074274537293</v>
      </c>
      <c r="K143" s="2">
        <v>32.15197096979816</v>
      </c>
    </row>
    <row r="144" spans="1:11" ht="12.75">
      <c r="A144" s="16" t="s">
        <v>38</v>
      </c>
      <c r="B144" s="2">
        <f ca="1" t="shared" si="71"/>
        <v>33.90045860741085</v>
      </c>
      <c r="C144" s="2">
        <f t="shared" si="72"/>
        <v>33.631411986504936</v>
      </c>
      <c r="D144">
        <v>182</v>
      </c>
      <c r="F144">
        <v>8</v>
      </c>
      <c r="G144">
        <f ca="1" t="shared" si="73"/>
        <v>2879663.9087738637</v>
      </c>
      <c r="H144">
        <f ca="1" t="shared" si="73"/>
        <v>2864526.9004656114</v>
      </c>
      <c r="I144" s="2">
        <f t="shared" si="74"/>
        <v>33.72226019959302</v>
      </c>
      <c r="J144" s="2">
        <f t="shared" si="75"/>
        <v>33.631411986504936</v>
      </c>
      <c r="K144" s="2">
        <v>34.32379632014417</v>
      </c>
    </row>
    <row r="145" spans="1:11" ht="12.75">
      <c r="A145" s="16" t="s">
        <v>39</v>
      </c>
      <c r="B145" s="2">
        <f ca="1" t="shared" si="71"/>
        <v>45.900699919198516</v>
      </c>
      <c r="C145" s="2">
        <f t="shared" si="72"/>
        <v>42.04205562962085</v>
      </c>
      <c r="D145">
        <v>183</v>
      </c>
      <c r="F145">
        <v>9</v>
      </c>
      <c r="G145">
        <f ca="1" t="shared" si="73"/>
        <v>3337204.5107371705</v>
      </c>
      <c r="H145">
        <f ca="1" t="shared" si="73"/>
        <v>3064919.2044048607</v>
      </c>
      <c r="I145" s="2">
        <f t="shared" si="74"/>
        <v>42.155623434327765</v>
      </c>
      <c r="J145" s="2">
        <f t="shared" si="75"/>
        <v>42.04205562962085</v>
      </c>
      <c r="K145" s="2">
        <v>46.317419530051126</v>
      </c>
    </row>
    <row r="146" spans="1:11" ht="12.75">
      <c r="A146" s="16" t="s">
        <v>40</v>
      </c>
      <c r="B146" s="2">
        <f ca="1" t="shared" si="71"/>
        <v>50.784502144693676</v>
      </c>
      <c r="C146" s="2">
        <f t="shared" si="72"/>
        <v>46.80841014884332</v>
      </c>
      <c r="D146">
        <v>184</v>
      </c>
      <c r="F146">
        <v>10</v>
      </c>
      <c r="G146">
        <f ca="1" t="shared" si="73"/>
        <v>3835678.195457226</v>
      </c>
      <c r="H146">
        <f ca="1" t="shared" si="73"/>
        <v>3544919.9196587936</v>
      </c>
      <c r="I146" s="2">
        <f t="shared" si="74"/>
        <v>46.93485326164582</v>
      </c>
      <c r="J146" s="2">
        <f t="shared" si="75"/>
        <v>46.80841014884332</v>
      </c>
      <c r="K146" s="2">
        <v>50.708211554073756</v>
      </c>
    </row>
    <row r="147" spans="1:11" ht="12.75">
      <c r="A147" s="16" t="s">
        <v>41</v>
      </c>
      <c r="B147" s="2">
        <f ca="1" t="shared" si="71"/>
        <v>43.779380525427115</v>
      </c>
      <c r="C147" s="2">
        <f t="shared" si="72"/>
        <v>44.497824439486294</v>
      </c>
      <c r="D147">
        <v>185</v>
      </c>
      <c r="F147">
        <v>11</v>
      </c>
      <c r="G147">
        <f ca="1" t="shared" si="73"/>
        <v>3940467.595712637</v>
      </c>
      <c r="H147">
        <f ca="1" t="shared" si="73"/>
        <v>4015951.881562543</v>
      </c>
      <c r="I147" s="2">
        <f t="shared" si="74"/>
        <v>44.61802598910476</v>
      </c>
      <c r="J147" s="2">
        <f t="shared" si="75"/>
        <v>44.497824439486294</v>
      </c>
      <c r="K147" s="2">
        <v>43.148177115043936</v>
      </c>
    </row>
    <row r="148" spans="1:11" ht="12.75">
      <c r="A148" s="16" t="s">
        <v>42</v>
      </c>
      <c r="B148" s="2">
        <f ca="1" t="shared" si="71"/>
        <v>37.42988021743518</v>
      </c>
      <c r="C148" s="2">
        <f t="shared" si="72"/>
        <v>42.65692111810933</v>
      </c>
      <c r="D148">
        <v>186</v>
      </c>
      <c r="F148">
        <v>12</v>
      </c>
      <c r="G148">
        <f ca="1" t="shared" si="73"/>
        <v>3554960.882213304</v>
      </c>
      <c r="H148">
        <f ca="1" t="shared" si="73"/>
        <v>4062351.2202728377</v>
      </c>
      <c r="I148" s="2">
        <f t="shared" si="74"/>
        <v>42.77214985310787</v>
      </c>
      <c r="J148" s="2">
        <f t="shared" si="75"/>
        <v>42.65692111810933</v>
      </c>
      <c r="K148" s="2">
        <v>36.86698063619086</v>
      </c>
    </row>
    <row r="149" spans="1:11" ht="12.75">
      <c r="A149" s="16" t="s">
        <v>43</v>
      </c>
      <c r="B149" s="2">
        <f ca="1" t="shared" si="71"/>
        <v>31.007597267645572</v>
      </c>
      <c r="C149" s="2">
        <f t="shared" si="72"/>
        <v>35.90932644523755</v>
      </c>
      <c r="D149">
        <v>187</v>
      </c>
      <c r="F149">
        <v>13</v>
      </c>
      <c r="G149">
        <f ca="1" t="shared" si="73"/>
        <v>3117810.283394429</v>
      </c>
      <c r="H149">
        <f ca="1" t="shared" si="73"/>
        <v>3620432.071330874</v>
      </c>
      <c r="I149" s="2">
        <f t="shared" si="74"/>
        <v>36.00632796697133</v>
      </c>
      <c r="J149" s="2">
        <f t="shared" si="75"/>
        <v>35.90932644523755</v>
      </c>
      <c r="K149" s="2">
        <v>31.445938845242175</v>
      </c>
    </row>
    <row r="150" spans="1:11" ht="12.75">
      <c r="A150" s="16" t="s">
        <v>44</v>
      </c>
      <c r="B150" s="2">
        <f ca="1" t="shared" si="71"/>
        <v>26.695487879073582</v>
      </c>
      <c r="C150" s="2">
        <f t="shared" si="72"/>
        <v>23.484070887998808</v>
      </c>
      <c r="D150">
        <v>188</v>
      </c>
      <c r="F150">
        <v>14</v>
      </c>
      <c r="G150">
        <f ca="1" t="shared" si="73"/>
        <v>3541533.590457539</v>
      </c>
      <c r="H150">
        <f ca="1" t="shared" si="73"/>
        <v>3123909.6130060856</v>
      </c>
      <c r="I150" s="2">
        <f t="shared" si="74"/>
        <v>23.547508185162094</v>
      </c>
      <c r="J150" s="2">
        <f t="shared" si="75"/>
        <v>23.484070887998808</v>
      </c>
      <c r="K150" s="2">
        <v>27.464864504706554</v>
      </c>
    </row>
    <row r="151" spans="1:11" ht="12.75">
      <c r="A151" s="16" t="s">
        <v>45</v>
      </c>
      <c r="B151" s="2">
        <f ca="1" t="shared" si="71"/>
        <v>25.084572888624837</v>
      </c>
      <c r="C151" s="2">
        <f t="shared" si="72"/>
        <v>17.9980562894501</v>
      </c>
      <c r="D151">
        <v>189</v>
      </c>
      <c r="F151">
        <v>15</v>
      </c>
      <c r="G151">
        <f ca="1" t="shared" si="73"/>
        <v>4776095.882326509</v>
      </c>
      <c r="H151">
        <f ca="1" t="shared" si="73"/>
        <v>3436081.8915213076</v>
      </c>
      <c r="I151" s="2">
        <f t="shared" si="74"/>
        <v>18.0466742675954</v>
      </c>
      <c r="J151" s="2">
        <f t="shared" si="75"/>
        <v>17.9980562894501</v>
      </c>
      <c r="K151" s="2">
        <v>25.089731377642252</v>
      </c>
    </row>
    <row r="152" spans="1:11" ht="12.75">
      <c r="A152" s="16" t="s">
        <v>46</v>
      </c>
      <c r="B152" s="2">
        <f ca="1" t="shared" si="71"/>
        <v>23.264803079907466</v>
      </c>
      <c r="C152" s="2">
        <f t="shared" si="72"/>
        <v>23.462427964662776</v>
      </c>
      <c r="D152">
        <v>190</v>
      </c>
      <c r="F152">
        <v>16</v>
      </c>
      <c r="G152">
        <f ca="1" t="shared" si="73"/>
        <v>4389712.274475189</v>
      </c>
      <c r="H152">
        <f ca="1" t="shared" si="73"/>
        <v>4438959.681430387</v>
      </c>
      <c r="I152" s="2">
        <f t="shared" si="74"/>
        <v>23.525806798003256</v>
      </c>
      <c r="J152" s="2">
        <f t="shared" si="75"/>
        <v>23.462427964662776</v>
      </c>
      <c r="K152" s="2">
        <v>22.7404760166981</v>
      </c>
    </row>
    <row r="153" spans="1:11" ht="12.75">
      <c r="A153" s="16" t="s">
        <v>47</v>
      </c>
      <c r="B153" s="2">
        <f ca="1" t="shared" si="71"/>
        <v>20.531168797380897</v>
      </c>
      <c r="C153" s="2">
        <f t="shared" si="72"/>
        <v>23.3090324317109</v>
      </c>
      <c r="D153">
        <v>191</v>
      </c>
      <c r="F153">
        <v>17</v>
      </c>
      <c r="G153">
        <f ca="1" t="shared" si="73"/>
        <v>3435962.338359949</v>
      </c>
      <c r="H153">
        <f ca="1" t="shared" si="73"/>
        <v>3911384.7784456206</v>
      </c>
      <c r="I153" s="2">
        <f t="shared" si="74"/>
        <v>23.371996899158265</v>
      </c>
      <c r="J153" s="2">
        <f t="shared" si="75"/>
        <v>23.3090324317109</v>
      </c>
      <c r="K153" s="2">
        <v>20.39122065575395</v>
      </c>
    </row>
    <row r="154" spans="1:11" ht="12.75">
      <c r="A154" s="16" t="s">
        <v>48</v>
      </c>
      <c r="B154" s="2">
        <f ca="1" t="shared" si="71"/>
        <v>18.204522241885467</v>
      </c>
      <c r="C154" s="2">
        <f t="shared" si="72"/>
        <v>19.595424439720922</v>
      </c>
      <c r="D154">
        <v>192</v>
      </c>
      <c r="F154">
        <v>18</v>
      </c>
      <c r="G154">
        <f ca="1" t="shared" si="73"/>
        <v>2687053.1237148982</v>
      </c>
      <c r="H154">
        <f ca="1" t="shared" si="73"/>
        <v>2900168.3952009254</v>
      </c>
      <c r="I154" s="2">
        <f t="shared" si="74"/>
        <v>19.64835737324645</v>
      </c>
      <c r="J154" s="2">
        <f t="shared" si="75"/>
        <v>19.595424439720922</v>
      </c>
      <c r="K154" s="2">
        <v>18.041965294809795</v>
      </c>
    </row>
    <row r="155" spans="1:11" ht="12.75">
      <c r="A155" s="16" t="s">
        <v>49</v>
      </c>
      <c r="B155" s="2">
        <f ca="1" t="shared" si="71"/>
        <v>15.496605935782453</v>
      </c>
      <c r="C155" s="2">
        <f t="shared" si="72"/>
        <v>17.289841853684372</v>
      </c>
      <c r="D155">
        <v>193</v>
      </c>
      <c r="F155">
        <v>19</v>
      </c>
      <c r="G155">
        <f ca="1" t="shared" si="73"/>
        <v>1887109.5506943387</v>
      </c>
      <c r="H155">
        <f ca="1" t="shared" si="73"/>
        <v>2111169.572397978</v>
      </c>
      <c r="I155" s="2">
        <f t="shared" si="74"/>
        <v>17.336546738915274</v>
      </c>
      <c r="J155" s="2">
        <f t="shared" si="75"/>
        <v>17.289841853684372</v>
      </c>
      <c r="K155" s="2">
        <v>15.725728137381381</v>
      </c>
    </row>
    <row r="156" spans="1:11" ht="12.75">
      <c r="A156" s="16" t="s">
        <v>50</v>
      </c>
      <c r="B156" s="2">
        <f ca="1" t="shared" si="71"/>
        <v>11.941505067997944</v>
      </c>
      <c r="C156" s="2">
        <f t="shared" si="72"/>
        <v>10.848465198450922</v>
      </c>
      <c r="D156">
        <v>194</v>
      </c>
      <c r="F156">
        <v>20</v>
      </c>
      <c r="G156">
        <f ca="1" t="shared" si="73"/>
        <v>1483305.230109547</v>
      </c>
      <c r="H156">
        <f ca="1" t="shared" si="73"/>
        <v>1351174.171220163</v>
      </c>
      <c r="I156" s="2">
        <f t="shared" si="74"/>
        <v>10.877770054233459</v>
      </c>
      <c r="J156" s="2">
        <f t="shared" si="75"/>
        <v>10.848465198450922</v>
      </c>
      <c r="K156" s="2">
        <v>12.076016464991035</v>
      </c>
    </row>
    <row r="157" spans="1:11" ht="12.75">
      <c r="A157" s="16" t="s">
        <v>65</v>
      </c>
      <c r="B157" s="2">
        <f ca="1" t="shared" si="71"/>
        <v>8.235612221975021</v>
      </c>
      <c r="C157" s="2">
        <f t="shared" si="72"/>
        <v>7.809486510389992</v>
      </c>
      <c r="D157">
        <v>195</v>
      </c>
      <c r="F157">
        <v>21</v>
      </c>
      <c r="G157">
        <f ca="1" t="shared" si="73"/>
        <v>951918.34332404</v>
      </c>
      <c r="H157">
        <f ca="1" t="shared" si="73"/>
        <v>905102.6974133824</v>
      </c>
      <c r="I157" s="2">
        <f t="shared" si="74"/>
        <v>7.830582201968126</v>
      </c>
      <c r="J157" s="2">
        <f t="shared" si="75"/>
        <v>7.809486510389992</v>
      </c>
      <c r="K157" s="2">
        <v>8.172259664896268</v>
      </c>
    </row>
    <row r="158" spans="1:11" ht="12.75">
      <c r="A158" s="16" t="s">
        <v>66</v>
      </c>
      <c r="B158" s="2">
        <f ca="1" t="shared" si="71"/>
        <v>12.039994010193007</v>
      </c>
      <c r="C158" s="2">
        <f t="shared" si="72"/>
        <v>14.458438239646448</v>
      </c>
      <c r="D158">
        <v>196</v>
      </c>
      <c r="F158">
        <v>22</v>
      </c>
      <c r="G158">
        <f ca="1" t="shared" si="73"/>
        <v>508306.0033023891</v>
      </c>
      <c r="H158">
        <f ca="1" t="shared" si="73"/>
        <v>612057.080184792</v>
      </c>
      <c r="I158" s="2">
        <f t="shared" si="74"/>
        <v>14.49749468124466</v>
      </c>
      <c r="J158" s="2">
        <f t="shared" si="75"/>
        <v>14.458438239646448</v>
      </c>
      <c r="K158" s="2">
        <v>11.779268604752671</v>
      </c>
    </row>
    <row r="159" spans="3:4" ht="12.75">
      <c r="C159" s="2"/>
      <c r="D159">
        <v>197</v>
      </c>
    </row>
    <row r="160" spans="3:4" ht="12.75">
      <c r="C160" s="2"/>
      <c r="D160">
        <v>198</v>
      </c>
    </row>
    <row r="161" spans="1:4" ht="12.75">
      <c r="A161" s="37" t="s">
        <v>67</v>
      </c>
      <c r="C161" s="2"/>
      <c r="D161">
        <v>199</v>
      </c>
    </row>
    <row r="162" spans="1:11" ht="12.75">
      <c r="A162" s="13" t="s">
        <v>21</v>
      </c>
      <c r="B162" s="2">
        <f ca="1" t="shared" si="76" ref="B162:B179">INDIRECT("Calculate!"&amp;B$8&amp;$D162)</f>
        <v>27.67470968797202</v>
      </c>
      <c r="C162" s="2">
        <f aca="true" t="shared" si="77" ref="C162:C179">$J$139*J162+$K$139*K162</f>
        <v>27.175986140801285</v>
      </c>
      <c r="D162">
        <v>200</v>
      </c>
      <c r="F162">
        <v>26</v>
      </c>
      <c r="G162">
        <f ca="1" t="shared" si="78" ref="G162:H179">INDIRECT($B$7&amp;G$140&amp;$F162)</f>
        <v>2398372.140816831</v>
      </c>
      <c r="H162">
        <f ca="1" t="shared" si="78"/>
        <v>2361513.2318686424</v>
      </c>
      <c r="I162" s="2">
        <f aca="true" t="shared" si="79" ref="I162:I179">B162/G162*H162</f>
        <v>27.249396373496516</v>
      </c>
      <c r="J162" s="2">
        <f aca="true" t="shared" si="80" ref="J162:J179">I162/$I$140*1000</f>
        <v>27.175986140801285</v>
      </c>
      <c r="K162" s="2">
        <v>27.667187160957546</v>
      </c>
    </row>
    <row r="163" spans="1:11" ht="12.75">
      <c r="A163" s="16" t="s">
        <v>33</v>
      </c>
      <c r="B163" s="2">
        <f ca="1" t="shared" si="76"/>
        <v>33.221266749014525</v>
      </c>
      <c r="C163" s="2">
        <f t="shared" si="77"/>
        <v>34.066460629676456</v>
      </c>
      <c r="D163">
        <v>201</v>
      </c>
      <c r="F163">
        <v>27</v>
      </c>
      <c r="G163">
        <f ca="1" t="shared" si="78"/>
        <v>2489168.2371876123</v>
      </c>
      <c r="H163">
        <f ca="1" t="shared" si="78"/>
        <v>2559391.0712097497</v>
      </c>
      <c r="I163" s="2">
        <f t="shared" si="79"/>
        <v>34.15848403552346</v>
      </c>
      <c r="J163" s="2">
        <f t="shared" si="80"/>
        <v>34.066460629676456</v>
      </c>
      <c r="K163" s="2">
        <v>33.159660757980795</v>
      </c>
    </row>
    <row r="164" spans="1:11" ht="12.75">
      <c r="A164" s="16" t="s">
        <v>37</v>
      </c>
      <c r="B164" s="2">
        <f ca="1" t="shared" si="76"/>
        <v>30.496083846111574</v>
      </c>
      <c r="C164" s="2">
        <f t="shared" si="77"/>
        <v>31.858632056666135</v>
      </c>
      <c r="D164">
        <v>202</v>
      </c>
      <c r="F164">
        <v>28</v>
      </c>
      <c r="G164">
        <f ca="1" t="shared" si="78"/>
        <v>2538668.516065412</v>
      </c>
      <c r="H164">
        <f ca="1" t="shared" si="78"/>
        <v>2659258.904037975</v>
      </c>
      <c r="I164" s="2">
        <f t="shared" si="79"/>
        <v>31.944691476203456</v>
      </c>
      <c r="J164" s="2">
        <f t="shared" si="80"/>
        <v>31.858632056666135</v>
      </c>
      <c r="K164" s="2">
        <v>30.652969368834654</v>
      </c>
    </row>
    <row r="165" spans="1:11" ht="12.75">
      <c r="A165" s="16" t="s">
        <v>38</v>
      </c>
      <c r="B165" s="2">
        <f ca="1" t="shared" si="76"/>
        <v>32.57349813354863</v>
      </c>
      <c r="C165" s="2">
        <f t="shared" si="77"/>
        <v>32.32814136343605</v>
      </c>
      <c r="D165">
        <v>203</v>
      </c>
      <c r="F165">
        <v>29</v>
      </c>
      <c r="G165">
        <f ca="1" t="shared" si="78"/>
        <v>2718615.2163924407</v>
      </c>
      <c r="H165">
        <f ca="1" t="shared" si="78"/>
        <v>2705425.95955058</v>
      </c>
      <c r="I165" s="2">
        <f t="shared" si="79"/>
        <v>32.415469063994856</v>
      </c>
      <c r="J165" s="2">
        <f t="shared" si="80"/>
        <v>32.32814136343605</v>
      </c>
      <c r="K165" s="2">
        <v>32.97623927790743</v>
      </c>
    </row>
    <row r="166" spans="1:11" ht="12.75">
      <c r="A166" s="16" t="s">
        <v>39</v>
      </c>
      <c r="B166" s="2">
        <f ca="1" t="shared" si="76"/>
        <v>43.24115899607612</v>
      </c>
      <c r="C166" s="2">
        <f t="shared" si="77"/>
        <v>39.61001795009307</v>
      </c>
      <c r="D166">
        <v>204</v>
      </c>
      <c r="F166">
        <v>30</v>
      </c>
      <c r="G166">
        <f ca="1" t="shared" si="78"/>
        <v>3174478.59729714</v>
      </c>
      <c r="H166">
        <f ca="1" t="shared" si="78"/>
        <v>2915759.4414995457</v>
      </c>
      <c r="I166" s="2">
        <f t="shared" si="79"/>
        <v>39.71701611456493</v>
      </c>
      <c r="J166" s="2">
        <f t="shared" si="80"/>
        <v>39.61001795009307</v>
      </c>
      <c r="K166" s="2">
        <v>43.67307029469693</v>
      </c>
    </row>
    <row r="167" spans="1:11" ht="12.75">
      <c r="A167" s="16" t="s">
        <v>40</v>
      </c>
      <c r="B167" s="2">
        <f ca="1" t="shared" si="76"/>
        <v>46.59141266988196</v>
      </c>
      <c r="C167" s="2">
        <f t="shared" si="77"/>
        <v>42.89249572287676</v>
      </c>
      <c r="D167">
        <v>205</v>
      </c>
      <c r="F167">
        <v>31</v>
      </c>
      <c r="G167">
        <f ca="1" t="shared" si="78"/>
        <v>3688505.071061244</v>
      </c>
      <c r="H167">
        <f ca="1" t="shared" si="78"/>
        <v>3404845.3967673667</v>
      </c>
      <c r="I167" s="2">
        <f t="shared" si="79"/>
        <v>43.00836081331291</v>
      </c>
      <c r="J167" s="2">
        <f t="shared" si="80"/>
        <v>42.89249572287676</v>
      </c>
      <c r="K167" s="2">
        <v>46.60854604559301</v>
      </c>
    </row>
    <row r="168" spans="1:11" ht="12.75">
      <c r="A168" s="16" t="s">
        <v>41</v>
      </c>
      <c r="B168" s="2">
        <f ca="1" t="shared" si="76"/>
        <v>39.454201299241525</v>
      </c>
      <c r="C168" s="2">
        <f t="shared" si="77"/>
        <v>39.948999533260476</v>
      </c>
      <c r="D168">
        <v>206</v>
      </c>
      <c r="F168">
        <v>32</v>
      </c>
      <c r="G168">
        <f ca="1" t="shared" si="78"/>
        <v>3844734.4373631515</v>
      </c>
      <c r="H168">
        <f ca="1" t="shared" si="78"/>
        <v>3903467.5465727425</v>
      </c>
      <c r="I168" s="2">
        <f t="shared" si="79"/>
        <v>40.056913385456454</v>
      </c>
      <c r="J168" s="2">
        <f t="shared" si="80"/>
        <v>39.948999533260476</v>
      </c>
      <c r="K168" s="2">
        <v>38.96384954709637</v>
      </c>
    </row>
    <row r="169" spans="1:11" ht="12.75">
      <c r="A169" s="16" t="s">
        <v>42</v>
      </c>
      <c r="B169" s="2">
        <f ca="1" t="shared" si="76"/>
        <v>34.18810341783971</v>
      </c>
      <c r="C169" s="2">
        <f t="shared" si="77"/>
        <v>38.71072005199167</v>
      </c>
      <c r="D169">
        <v>207</v>
      </c>
      <c r="F169">
        <v>33</v>
      </c>
      <c r="G169">
        <f ca="1" t="shared" si="78"/>
        <v>3541467.9949334217</v>
      </c>
      <c r="H169">
        <f ca="1" t="shared" si="78"/>
        <v>4020787.636452916</v>
      </c>
      <c r="I169" s="2">
        <f t="shared" si="79"/>
        <v>38.81528895161111</v>
      </c>
      <c r="J169" s="2">
        <f t="shared" si="80"/>
        <v>38.71072005199167</v>
      </c>
      <c r="K169" s="2">
        <v>33.7567213509399</v>
      </c>
    </row>
    <row r="170" spans="1:11" ht="12.75">
      <c r="A170" s="16" t="s">
        <v>43</v>
      </c>
      <c r="B170" s="2">
        <f ca="1" t="shared" si="76"/>
        <v>28.91853659032074</v>
      </c>
      <c r="C170" s="2">
        <f t="shared" si="77"/>
        <v>33.04264423662552</v>
      </c>
      <c r="D170">
        <v>208</v>
      </c>
      <c r="F170">
        <v>34</v>
      </c>
      <c r="G170">
        <f ca="1" t="shared" si="78"/>
        <v>3214277.886686889</v>
      </c>
      <c r="H170">
        <f ca="1" t="shared" si="78"/>
        <v>3682590.910659986</v>
      </c>
      <c r="I170" s="2">
        <f t="shared" si="79"/>
        <v>33.13190201699488</v>
      </c>
      <c r="J170" s="2">
        <f t="shared" si="80"/>
        <v>33.04264423662552</v>
      </c>
      <c r="K170" s="2">
        <v>29.371028103397236</v>
      </c>
    </row>
    <row r="171" spans="1:11" ht="12.75">
      <c r="A171" s="16" t="s">
        <v>44</v>
      </c>
      <c r="B171" s="2">
        <f ca="1" t="shared" si="76"/>
        <v>26.038529110912805</v>
      </c>
      <c r="C171" s="2">
        <f t="shared" si="77"/>
        <v>22.583388547579915</v>
      </c>
      <c r="D171">
        <v>209</v>
      </c>
      <c r="F171">
        <v>35</v>
      </c>
      <c r="G171">
        <f ca="1" t="shared" si="78"/>
        <v>3819519.855613662</v>
      </c>
      <c r="H171">
        <f ca="1" t="shared" si="78"/>
        <v>3321643.3886377714</v>
      </c>
      <c r="I171" s="2">
        <f t="shared" si="79"/>
        <v>22.644392840109916</v>
      </c>
      <c r="J171" s="2">
        <f t="shared" si="80"/>
        <v>22.583388547579915</v>
      </c>
      <c r="K171" s="2">
        <v>26.80115119033193</v>
      </c>
    </row>
    <row r="172" spans="1:11" ht="12.75">
      <c r="A172" s="16" t="s">
        <v>45</v>
      </c>
      <c r="B172" s="2">
        <f ca="1" t="shared" si="76"/>
        <v>25.314668890634742</v>
      </c>
      <c r="C172" s="2">
        <f t="shared" si="77"/>
        <v>17.77071491589388</v>
      </c>
      <c r="D172">
        <v>210</v>
      </c>
      <c r="F172">
        <v>36</v>
      </c>
      <c r="G172">
        <f ca="1" t="shared" si="78"/>
        <v>5513752.187463099</v>
      </c>
      <c r="H172">
        <f ca="1" t="shared" si="78"/>
        <v>3881069.9073206643</v>
      </c>
      <c r="I172" s="2">
        <f t="shared" si="79"/>
        <v>17.81871877895067</v>
      </c>
      <c r="J172" s="2">
        <f t="shared" si="80"/>
        <v>17.77071491589388</v>
      </c>
      <c r="K172" s="2">
        <v>25.29238977054117</v>
      </c>
    </row>
    <row r="173" spans="1:11" ht="12.75">
      <c r="A173" s="16" t="s">
        <v>46</v>
      </c>
      <c r="B173" s="2">
        <f ca="1" t="shared" si="76"/>
        <v>24.464633897277924</v>
      </c>
      <c r="C173" s="2">
        <f t="shared" si="77"/>
        <v>24.121070826892375</v>
      </c>
      <c r="D173">
        <v>211</v>
      </c>
      <c r="F173">
        <v>37</v>
      </c>
      <c r="G173">
        <f ca="1" t="shared" si="78"/>
        <v>5541279.657092746</v>
      </c>
      <c r="H173">
        <f ca="1" t="shared" si="78"/>
        <v>5478220.456862831</v>
      </c>
      <c r="I173" s="2">
        <f t="shared" si="79"/>
        <v>24.186228845927488</v>
      </c>
      <c r="J173" s="2">
        <f t="shared" si="80"/>
        <v>24.121070826892375</v>
      </c>
      <c r="K173" s="2">
        <v>23.773053271856046</v>
      </c>
    </row>
    <row r="174" spans="1:11" ht="12.75">
      <c r="A174" s="16" t="s">
        <v>47</v>
      </c>
      <c r="B174" s="2">
        <f ca="1" t="shared" si="76"/>
        <v>22.51045056605348</v>
      </c>
      <c r="C174" s="2">
        <f t="shared" si="77"/>
        <v>25.134010257352422</v>
      </c>
      <c r="D174">
        <v>212</v>
      </c>
      <c r="F174">
        <v>38</v>
      </c>
      <c r="G174">
        <f ca="1" t="shared" si="78"/>
        <v>4833250.559428629</v>
      </c>
      <c r="H174">
        <f ca="1" t="shared" si="78"/>
        <v>5411136.430284942</v>
      </c>
      <c r="I174" s="2">
        <f t="shared" si="79"/>
        <v>25.20190452002966</v>
      </c>
      <c r="J174" s="2">
        <f t="shared" si="80"/>
        <v>25.134010257352422</v>
      </c>
      <c r="K174" s="2">
        <v>22.25371677317092</v>
      </c>
    </row>
    <row r="175" spans="1:11" ht="12.75">
      <c r="A175" s="16" t="s">
        <v>48</v>
      </c>
      <c r="B175" s="2">
        <f ca="1" t="shared" si="76"/>
        <v>21.024221536336075</v>
      </c>
      <c r="C175" s="2">
        <f t="shared" si="77"/>
        <v>22.897889065998253</v>
      </c>
      <c r="D175">
        <v>213</v>
      </c>
      <c r="F175">
        <v>39</v>
      </c>
      <c r="G175">
        <f ca="1" t="shared" si="78"/>
        <v>4208848.641613618</v>
      </c>
      <c r="H175">
        <f ca="1" t="shared" si="78"/>
        <v>4596321.562531483</v>
      </c>
      <c r="I175" s="2">
        <f t="shared" si="79"/>
        <v>22.95974291578517</v>
      </c>
      <c r="J175" s="2">
        <f t="shared" si="80"/>
        <v>22.897889065998253</v>
      </c>
      <c r="K175" s="2">
        <v>20.734380274485794</v>
      </c>
    </row>
    <row r="176" spans="1:11" ht="12.75">
      <c r="A176" s="16" t="s">
        <v>49</v>
      </c>
      <c r="B176" s="2">
        <f ca="1" t="shared" si="76"/>
        <v>18.94422363315924</v>
      </c>
      <c r="C176" s="2">
        <f t="shared" si="77"/>
        <v>21.18255838543942</v>
      </c>
      <c r="D176">
        <v>214</v>
      </c>
      <c r="F176">
        <v>40</v>
      </c>
      <c r="G176">
        <f ca="1" t="shared" si="78"/>
        <v>3405801.4135709438</v>
      </c>
      <c r="H176">
        <f ca="1" t="shared" si="78"/>
        <v>3818497.367779921</v>
      </c>
      <c r="I176" s="2">
        <f t="shared" si="79"/>
        <v>21.239778628785835</v>
      </c>
      <c r="J176" s="2">
        <f t="shared" si="80"/>
        <v>21.18255838543942</v>
      </c>
      <c r="K176" s="2">
        <v>19.2031610678261</v>
      </c>
    </row>
    <row r="177" spans="1:11" ht="12.75">
      <c r="A177" s="16" t="s">
        <v>50</v>
      </c>
      <c r="B177" s="2">
        <f ca="1" t="shared" si="76"/>
        <v>15.76460301317804</v>
      </c>
      <c r="C177" s="2">
        <f t="shared" si="77"/>
        <v>13.634903542495948</v>
      </c>
      <c r="D177">
        <v>215</v>
      </c>
      <c r="F177">
        <v>41</v>
      </c>
      <c r="G177">
        <f ca="1" t="shared" si="78"/>
        <v>3289624.4184008534</v>
      </c>
      <c r="H177">
        <f ca="1" t="shared" si="78"/>
        <v>2852902.4487742656</v>
      </c>
      <c r="I177" s="2">
        <f t="shared" si="79"/>
        <v>13.671735377655331</v>
      </c>
      <c r="J177" s="2">
        <f t="shared" si="80"/>
        <v>13.634903542495948</v>
      </c>
      <c r="K177" s="2">
        <v>15.908177515932689</v>
      </c>
    </row>
    <row r="178" spans="1:11" ht="12.75">
      <c r="A178" s="16" t="s">
        <v>65</v>
      </c>
      <c r="B178" s="2">
        <f ca="1" t="shared" si="76"/>
        <v>11.604658372090592</v>
      </c>
      <c r="C178" s="2">
        <f t="shared" si="77"/>
        <v>10.670095911221072</v>
      </c>
      <c r="D178">
        <v>216</v>
      </c>
      <c r="F178">
        <v>42</v>
      </c>
      <c r="G178">
        <f ca="1" t="shared" si="78"/>
        <v>2562308.479248271</v>
      </c>
      <c r="H178">
        <f ca="1" t="shared" si="78"/>
        <v>2362321.219557096</v>
      </c>
      <c r="I178" s="2">
        <f t="shared" si="79"/>
        <v>10.698918939745772</v>
      </c>
      <c r="J178" s="2">
        <f t="shared" si="80"/>
        <v>10.670095911221072</v>
      </c>
      <c r="K178" s="2">
        <v>11.463211910912348</v>
      </c>
    </row>
    <row r="179" spans="1:11" ht="12.75">
      <c r="A179" s="16" t="s">
        <v>66</v>
      </c>
      <c r="B179" s="2">
        <f ca="1" t="shared" si="76"/>
        <v>18.047992621605424</v>
      </c>
      <c r="C179" s="2">
        <f t="shared" si="77"/>
        <v>21.19505902490691</v>
      </c>
      <c r="D179">
        <v>217</v>
      </c>
      <c r="F179">
        <v>43</v>
      </c>
      <c r="G179">
        <f ca="1" t="shared" si="78"/>
        <v>1561654.4463799903</v>
      </c>
      <c r="H179">
        <f ca="1" t="shared" si="78"/>
        <v>1838917.4821011801</v>
      </c>
      <c r="I179" s="2">
        <f t="shared" si="79"/>
        <v>21.252313036111737</v>
      </c>
      <c r="J179" s="2">
        <f t="shared" si="80"/>
        <v>21.19505902490691</v>
      </c>
      <c r="K179" s="2">
        <v>17.741486317539145</v>
      </c>
    </row>
    <row r="225" spans="1:56" ht="12.75">
      <c r="A225" s="14" t="s">
        <v>69</v>
      </c>
      <c r="B225" s="38">
        <v>1.4775044288199901</v>
      </c>
      <c r="C225" s="1"/>
      <c r="D225" s="1"/>
      <c r="F225" s="1"/>
      <c r="G225" s="1"/>
      <c r="H225" s="38">
        <v>0.9505769897922669</v>
      </c>
      <c r="I225" s="1"/>
      <c r="J225" s="1"/>
      <c r="K225" s="1"/>
      <c r="L225" s="1"/>
      <c r="M225" s="1"/>
      <c r="N225" s="38">
        <v>0.7381376677878556</v>
      </c>
      <c r="O225" s="1"/>
      <c r="P225" s="1"/>
      <c r="Q225" s="1"/>
      <c r="R225" s="1"/>
      <c r="S225" s="1"/>
      <c r="T225" s="38">
        <v>0.6759022986001973</v>
      </c>
      <c r="U225" s="1"/>
      <c r="V225" s="1"/>
      <c r="W225" s="1"/>
      <c r="X225" s="1"/>
      <c r="Y225" s="1"/>
      <c r="Z225" s="38">
        <v>0.6800482546702735</v>
      </c>
      <c r="AA225" s="1"/>
      <c r="AB225" s="1"/>
      <c r="AC225" s="1"/>
      <c r="AD225" s="1"/>
      <c r="AE225" s="1"/>
      <c r="AF225" s="38">
        <v>0.6919162051766392</v>
      </c>
      <c r="AG225" s="1"/>
      <c r="AH225" s="1"/>
      <c r="AI225" s="1"/>
      <c r="AJ225" s="1"/>
      <c r="AK225" s="1"/>
      <c r="AL225" s="38">
        <v>0.695304397883421</v>
      </c>
      <c r="AM225" s="1"/>
      <c r="AN225" s="1"/>
      <c r="AO225" s="1"/>
      <c r="AP225" s="1"/>
      <c r="AQ225" s="1"/>
      <c r="AR225" s="38">
        <v>0.7023907842116105</v>
      </c>
      <c r="AS225" s="1"/>
      <c r="AT225" s="1"/>
      <c r="AU225" s="1"/>
      <c r="AV225" s="1"/>
      <c r="AW225" s="1"/>
      <c r="AX225" s="38">
        <v>0.7010048430944522</v>
      </c>
      <c r="AY225" s="1"/>
      <c r="AZ225" s="1"/>
      <c r="BA225" s="1"/>
      <c r="BB225" s="1"/>
      <c r="BC225" s="1"/>
      <c r="BD225" s="38">
        <v>0.6976926417311167</v>
      </c>
    </row>
    <row r="228" spans="1:56" ht="12.75">
      <c r="A228" t="s">
        <v>70</v>
      </c>
      <c r="B228" s="2">
        <f>Calculate!B224-Calculate!B227</f>
        <v>-0.0001242407737271911</v>
      </c>
      <c r="H228" s="2">
        <f>Calculate!H224-Calculate!H227</f>
        <v>-0.0003164606897094746</v>
      </c>
      <c r="N228" s="2">
        <f>Calculate!N224-Calculate!N227</f>
        <v>-0.00030103220483834736</v>
      </c>
      <c r="T228" s="2">
        <f>Calculate!T224-Calculate!T227</f>
        <v>-0.00025155001912735564</v>
      </c>
      <c r="Z228" s="2">
        <f>Calculate!Z224-Calculate!Z227</f>
        <v>-0.00021005797753959055</v>
      </c>
      <c r="AF228" s="2">
        <f>Calculate!AF224-Calculate!AF227</f>
        <v>-0.00020587842682601165</v>
      </c>
      <c r="AL228" s="2">
        <f>Calculate!AL224-Calculate!AL227</f>
        <v>-0.00022360851820441008</v>
      </c>
      <c r="AR228" s="2">
        <f>Calculate!AR224-Calculate!AR227</f>
        <v>-0.00030264205690344603</v>
      </c>
      <c r="AX228" s="2">
        <f>Calculate!AX224-Calculate!AX227</f>
        <v>3.2598871380074E-09</v>
      </c>
      <c r="BD228" s="2">
        <f>Calculate!BD224-Calculate!BD227</f>
        <v>-0.000424989822573274</v>
      </c>
    </row>
    <row r="231" ht="12.75">
      <c r="E231">
        <f>TRIM(A244)</f>
      </c>
    </row>
    <row r="232" spans="5:15" ht="12.75">
      <c r="E232" t="str">
        <f>TRIM(A245)</f>
        <v>Заполнение</v>
      </c>
      <c r="O232">
        <f>IF(B243=1,A243,"")</f>
      </c>
    </row>
    <row r="233" ht="12.75">
      <c r="O233">
        <f>IF(B242=1,A242,"")&amp;""</f>
      </c>
    </row>
    <row r="234" spans="1:15" ht="12.75">
      <c r="A234" s="28" t="s">
        <v>71</v>
      </c>
      <c r="B234" s="28">
        <f>MAX(B235:B241)</f>
        <v>0</v>
      </c>
      <c r="C234" t="s">
        <v>72</v>
      </c>
      <c r="D234" t="s">
        <v>73</v>
      </c>
      <c r="E234" t="s">
        <v>74</v>
      </c>
      <c r="F234" t="s">
        <v>75</v>
      </c>
      <c r="G234" t="s">
        <v>76</v>
      </c>
      <c r="H234" t="s">
        <v>77</v>
      </c>
      <c r="I234" t="s">
        <v>78</v>
      </c>
      <c r="J234" t="s">
        <v>79</v>
      </c>
      <c r="K234" t="s">
        <v>80</v>
      </c>
      <c r="L234" t="s">
        <v>81</v>
      </c>
      <c r="M234" t="str">
        <f>CHAR(13)</f>
        <v>
</v>
      </c>
      <c r="O234" t="str">
        <f>M234&amp;IF(B234=1,A234,"")</f>
        <v>
</v>
      </c>
    </row>
    <row r="235" spans="1:15" ht="12.75">
      <c r="A235" s="28" t="s">
        <v>82</v>
      </c>
      <c r="B235">
        <f aca="true" t="shared" si="81" ref="B235:B241">MAX(C235:L235)</f>
        <v>0</v>
      </c>
      <c r="C235" s="39">
        <f>IF(OR(C257&gt;Table!$N235,C257&lt;Table!$M235),1,0)</f>
        <v>0</v>
      </c>
      <c r="D235" s="39">
        <f>IF(OR(D257&gt;Table!$N235,D257&lt;Table!$M235),1,0)</f>
        <v>0</v>
      </c>
      <c r="E235" s="39">
        <f>IF(OR(E257&gt;Table!$N235,E257&lt;Table!$M235),1,0)</f>
        <v>0</v>
      </c>
      <c r="F235" s="39">
        <f>IF(OR(F257&gt;Table!$N235,F257&lt;Table!$M235),1,0)</f>
        <v>0</v>
      </c>
      <c r="G235" s="39">
        <f>IF(OR(G257&gt;Table!$N235,G257&lt;Table!$M235),1,0)</f>
        <v>0</v>
      </c>
      <c r="H235" s="39">
        <f>IF(OR(H257&gt;Table!$N235,H257&lt;Table!$M235),1,0)</f>
        <v>0</v>
      </c>
      <c r="I235" s="39">
        <f>IF(OR(I257&gt;Table!$N235,I257&lt;Table!$M235),1,0)</f>
        <v>0</v>
      </c>
      <c r="J235" s="39">
        <f>IF(OR(J257&gt;Table!$N235,J257&lt;Table!$M235),1,0)</f>
        <v>0</v>
      </c>
      <c r="K235" s="39">
        <f>IF(OR(K257&gt;Table!$N235,K257&lt;Table!$M235),1,0)</f>
        <v>0</v>
      </c>
      <c r="L235" s="39">
        <f>IF(OR(L257&gt;Table!$N235,L257&lt;Table!$M235),1,0)</f>
        <v>0</v>
      </c>
      <c r="M235">
        <v>0.1</v>
      </c>
      <c r="N235">
        <v>7</v>
      </c>
      <c r="O235">
        <f>IF(B235=1,A235,"")</f>
      </c>
    </row>
    <row r="236" spans="1:15" ht="12.75">
      <c r="A236" s="28" t="s">
        <v>83</v>
      </c>
      <c r="B236">
        <f t="shared" si="81"/>
        <v>0</v>
      </c>
      <c r="C236" s="39">
        <f>IF(OR(C258&gt;Table!$N236,C258&lt;Table!$M236),1,0)</f>
        <v>0</v>
      </c>
      <c r="D236" s="39">
        <f>IF(OR(D258&gt;Table!$N236,D258&lt;Table!$M236),1,0)</f>
        <v>0</v>
      </c>
      <c r="E236" s="39">
        <f>IF(OR(E258&gt;Table!$N236,E258&lt;Table!$M236),1,0)</f>
        <v>0</v>
      </c>
      <c r="F236" s="39">
        <f>IF(OR(F258&gt;Table!$N236,F258&lt;Table!$M236),1,0)</f>
        <v>0</v>
      </c>
      <c r="G236" s="39">
        <f>IF(OR(G258&gt;Table!$N236,G258&lt;Table!$M236),1,0)</f>
        <v>0</v>
      </c>
      <c r="H236" s="39">
        <f>IF(OR(H258&gt;Table!$N236,H258&lt;Table!$M236),1,0)</f>
        <v>0</v>
      </c>
      <c r="I236" s="39">
        <f>IF(OR(I258&gt;Table!$N236,I258&lt;Table!$M236),1,0)</f>
        <v>0</v>
      </c>
      <c r="J236" s="39">
        <f>IF(OR(J258&gt;Table!$N236,J258&lt;Table!$M236),1,0)</f>
        <v>0</v>
      </c>
      <c r="K236" s="39">
        <f>IF(OR(K258&gt;Table!$N236,K258&lt;Table!$M236),1,0)</f>
        <v>0</v>
      </c>
      <c r="L236" s="39">
        <f>IF(OR(L258&gt;Table!$N236,L258&lt;Table!$M236),1,0)</f>
        <v>0</v>
      </c>
      <c r="M236">
        <v>20</v>
      </c>
      <c r="N236">
        <v>35</v>
      </c>
      <c r="O236">
        <f>IF(B236=1,A236,"")</f>
      </c>
    </row>
    <row r="237" spans="1:15" ht="12.75">
      <c r="A237" s="28" t="s">
        <v>84</v>
      </c>
      <c r="B237">
        <f t="shared" si="81"/>
        <v>0</v>
      </c>
      <c r="C237" s="39">
        <f>IF(OR(C259&gt;Table!$N237,C259&lt;Table!$M237),1,0)</f>
        <v>0</v>
      </c>
      <c r="D237" s="39">
        <f>IF(OR(D259&gt;Table!$N237,D259&lt;Table!$M237),1,0)</f>
        <v>0</v>
      </c>
      <c r="E237" s="39">
        <f>IF(OR(E259&gt;Table!$N237,E259&lt;Table!$M237),1,0)</f>
        <v>0</v>
      </c>
      <c r="F237" s="39">
        <f>IF(OR(F259&gt;Table!$N237,F259&lt;Table!$M237),1,0)</f>
        <v>0</v>
      </c>
      <c r="G237" s="39">
        <f>IF(OR(G259&gt;Table!$N237,G259&lt;Table!$M237),1,0)</f>
        <v>0</v>
      </c>
      <c r="H237" s="39">
        <f>IF(OR(H259&gt;Table!$N237,H259&lt;Table!$M237),1,0)</f>
        <v>0</v>
      </c>
      <c r="I237" s="39">
        <f>IF(OR(I259&gt;Table!$N237,I259&lt;Table!$M237),1,0)</f>
        <v>0</v>
      </c>
      <c r="J237" s="39">
        <f>IF(OR(J259&gt;Table!$N237,J259&lt;Table!$M237),1,0)</f>
        <v>0</v>
      </c>
      <c r="K237" s="39">
        <f>IF(OR(K259&gt;Table!$N237,K259&lt;Table!$M237),1,0)</f>
        <v>0</v>
      </c>
      <c r="L237" s="39">
        <f>IF(OR(L259&gt;Table!$N237,L259&lt;Table!$M237),1,0)</f>
        <v>0</v>
      </c>
      <c r="M237">
        <v>20</v>
      </c>
      <c r="N237">
        <v>80</v>
      </c>
      <c r="O237">
        <f>IF(OR($B$237=1,$B$238=1),A237,"")</f>
      </c>
    </row>
    <row r="238" spans="1:15" ht="12.75">
      <c r="A238" s="28" t="s">
        <v>85</v>
      </c>
      <c r="B238">
        <f t="shared" si="81"/>
        <v>0</v>
      </c>
      <c r="C238" s="39">
        <f>IF(OR(C260&gt;Table!$N238,C260&lt;Table!$M238),1,0)</f>
        <v>0</v>
      </c>
      <c r="D238" s="39">
        <f>IF(OR(D260&gt;Table!$N238,D260&lt;Table!$M238),1,0)</f>
        <v>0</v>
      </c>
      <c r="E238" s="39">
        <f>IF(OR(E260&gt;Table!$N238,E260&lt;Table!$M238),1,0)</f>
        <v>0</v>
      </c>
      <c r="F238" s="39">
        <f>IF(OR(F260&gt;Table!$N238,F260&lt;Table!$M238),1,0)</f>
        <v>0</v>
      </c>
      <c r="G238" s="39">
        <f>IF(OR(G260&gt;Table!$N238,G260&lt;Table!$M238),1,0)</f>
        <v>0</v>
      </c>
      <c r="H238" s="39">
        <f>IF(OR(H260&gt;Table!$N238,H260&lt;Table!$M238),1,0)</f>
        <v>0</v>
      </c>
      <c r="I238" s="39">
        <f>IF(OR(I260&gt;Table!$N238,I260&lt;Table!$M238),1,0)</f>
        <v>0</v>
      </c>
      <c r="J238" s="39">
        <f>IF(OR(J260&gt;Table!$N238,J260&lt;Table!$M238),1,0)</f>
        <v>0</v>
      </c>
      <c r="K238" s="39">
        <f>IF(OR(K260&gt;Table!$N238,K260&lt;Table!$M238),1,0)</f>
        <v>0</v>
      </c>
      <c r="L238" s="39">
        <f>IF(OR(L260&gt;Table!$N238,L260&lt;Table!$M238),1,0)</f>
        <v>0</v>
      </c>
      <c r="M238">
        <v>20</v>
      </c>
      <c r="N238">
        <v>90</v>
      </c>
      <c r="O238" s="40"/>
    </row>
    <row r="239" spans="1:15" ht="12.75">
      <c r="A239" s="28" t="s">
        <v>86</v>
      </c>
      <c r="B239">
        <f t="shared" si="81"/>
        <v>0</v>
      </c>
      <c r="C239" s="39">
        <f>IF(OR(C261&gt;Table!$N239,C261&lt;Table!$M239),1,0)</f>
        <v>0</v>
      </c>
      <c r="D239" s="39">
        <f>IF(OR(D261&gt;Table!$N239,D261&lt;Table!$M239),1,0)</f>
        <v>0</v>
      </c>
      <c r="E239" s="39">
        <f>IF(OR(E261&gt;Table!$N239,E261&lt;Table!$M239),1,0)</f>
        <v>0</v>
      </c>
      <c r="F239" s="39">
        <f>IF(OR(F261&gt;Table!$N239,F261&lt;Table!$M239),1,0)</f>
        <v>0</v>
      </c>
      <c r="G239" s="39">
        <f>IF(OR(G261&gt;Table!$N239,G261&lt;Table!$M239),1,0)</f>
        <v>0</v>
      </c>
      <c r="H239" s="39">
        <f>IF(OR(H261&gt;Table!$N239,H261&lt;Table!$M239),1,0)</f>
        <v>0</v>
      </c>
      <c r="I239" s="39">
        <f>IF(OR(I261&gt;Table!$N239,I261&lt;Table!$M239),1,0)</f>
        <v>0</v>
      </c>
      <c r="J239" s="39">
        <f>IF(OR(J261&gt;Table!$N239,J261&lt;Table!$M239),1,0)</f>
        <v>0</v>
      </c>
      <c r="K239" s="39">
        <f>IF(OR(K261&gt;Table!$N239,K261&lt;Table!$M239),1,0)</f>
        <v>0</v>
      </c>
      <c r="L239" s="39">
        <f>IF(OR(L261&gt;Table!$N239,L261&lt;Table!$M239),1,0)</f>
        <v>0</v>
      </c>
      <c r="M239">
        <v>1</v>
      </c>
      <c r="N239">
        <v>200</v>
      </c>
      <c r="O239">
        <f>IF(B239=1,A239,"")</f>
      </c>
    </row>
    <row r="240" spans="1:15" ht="12.75">
      <c r="A240" s="28" t="s">
        <v>87</v>
      </c>
      <c r="B240">
        <f t="shared" si="81"/>
        <v>0</v>
      </c>
      <c r="C240" s="39">
        <f>IF(OR(C262&gt;Table!$N240,C262&lt;Table!$M240),1,0)</f>
        <v>0</v>
      </c>
      <c r="D240" s="39">
        <f>IF(OR(D262&gt;Table!$N240,D262&lt;Table!$M240),1,0)</f>
        <v>0</v>
      </c>
      <c r="E240" s="39">
        <f>IF(OR(E262&gt;Table!$N240,E262&lt;Table!$M240),1,0)</f>
        <v>0</v>
      </c>
      <c r="F240" s="39">
        <f>IF(OR(F262&gt;Table!$N240,F262&lt;Table!$M240),1,0)</f>
        <v>0</v>
      </c>
      <c r="G240" s="39">
        <f>IF(OR(G262&gt;Table!$N240,G262&lt;Table!$M240),1,0)</f>
        <v>0</v>
      </c>
      <c r="H240" s="39">
        <f>IF(OR(H262&gt;Table!$N240,H262&lt;Table!$M240),1,0)</f>
        <v>0</v>
      </c>
      <c r="I240" s="39">
        <f>IF(OR(I262&gt;Table!$N240,I262&lt;Table!$M240),1,0)</f>
        <v>0</v>
      </c>
      <c r="J240" s="39">
        <f>IF(OR(J262&gt;Table!$N240,J262&lt;Table!$M240),1,0)</f>
        <v>0</v>
      </c>
      <c r="K240" s="39">
        <f>IF(OR(K262&gt;Table!$N240,K262&lt;Table!$M240),1,0)</f>
        <v>0</v>
      </c>
      <c r="L240" s="39">
        <f>IF(OR(L262&gt;Table!$N240,L262&lt;Table!$M240),1,0)</f>
        <v>0</v>
      </c>
      <c r="M240">
        <v>0</v>
      </c>
      <c r="N240">
        <v>2000</v>
      </c>
      <c r="O240">
        <f>IF(B240=1,A240,"")</f>
      </c>
    </row>
    <row r="241" spans="1:15" ht="12.75">
      <c r="A241" s="28" t="s">
        <v>88</v>
      </c>
      <c r="B241">
        <f t="shared" si="81"/>
        <v>0</v>
      </c>
      <c r="C241" s="39">
        <f>IF(OR(C263&gt;Table!$N241,C263&lt;Table!$M241),1,0)</f>
        <v>0</v>
      </c>
      <c r="D241" s="39">
        <f>IF(OR(D263&gt;Table!$N241,D263&lt;Table!$M241),1,0)</f>
        <v>0</v>
      </c>
      <c r="E241" s="39">
        <f>IF(OR(E263&gt;Table!$N241,E263&lt;Table!$M241),1,0)</f>
        <v>0</v>
      </c>
      <c r="F241" s="39">
        <f>IF(OR(F263&gt;Table!$N241,F263&lt;Table!$M241),1,0)</f>
        <v>0</v>
      </c>
      <c r="G241" s="39">
        <f>IF(OR(G263&gt;Table!$N241,G263&lt;Table!$M241),1,0)</f>
        <v>0</v>
      </c>
      <c r="H241" s="39">
        <f>IF(OR(H263&gt;Table!$N241,H263&lt;Table!$M241),1,0)</f>
        <v>0</v>
      </c>
      <c r="I241" s="39">
        <f>IF(OR(I263&gt;Table!$N241,I263&lt;Table!$M241),1,0)</f>
        <v>0</v>
      </c>
      <c r="J241" s="39">
        <f>IF(OR(J263&gt;Table!$N241,J263&lt;Table!$M241),1,0)</f>
        <v>0</v>
      </c>
      <c r="K241" s="39">
        <f>IF(OR(K263&gt;Table!$N241,K263&lt;Table!$M241),1,0)</f>
        <v>0</v>
      </c>
      <c r="L241" s="39">
        <f>IF(OR(L263&gt;Table!$N241,L263&lt;Table!$M241),1,0)</f>
        <v>0</v>
      </c>
      <c r="M241">
        <v>0</v>
      </c>
      <c r="N241">
        <v>100</v>
      </c>
      <c r="O241">
        <f>IF(B241=1,A241,"")</f>
      </c>
    </row>
    <row r="242" spans="1:2" ht="12.75">
      <c r="A242" s="28" t="s">
        <v>89</v>
      </c>
      <c r="B242">
        <f>IF(MIN(C257:L263)&lt;0,1,0)</f>
        <v>0</v>
      </c>
    </row>
    <row r="243" spans="1:20" ht="11.25" customHeight="1">
      <c r="A243" s="28" t="s">
        <v>90</v>
      </c>
      <c r="B243">
        <f>MAX(C265:L271)</f>
        <v>0</v>
      </c>
      <c r="C243" s="4">
        <v>1.3086569482793404</v>
      </c>
      <c r="D243" s="4">
        <v>1.3826061300154722</v>
      </c>
      <c r="E243" s="4">
        <v>1.396</v>
      </c>
      <c r="F243" s="4">
        <v>1.396</v>
      </c>
      <c r="G243" s="4">
        <v>1.396</v>
      </c>
      <c r="H243" s="4">
        <v>1.396</v>
      </c>
      <c r="I243" s="4">
        <v>1.396</v>
      </c>
      <c r="J243" s="4">
        <v>1.396</v>
      </c>
      <c r="K243" s="4">
        <v>1.396</v>
      </c>
      <c r="L243" s="4">
        <v>1.396</v>
      </c>
      <c r="O243" s="41" t="str">
        <f>O232&amp;M234&amp;O233&amp;M234&amp;O234&amp;M234&amp;O235&amp;M234&amp;O236&amp;M234&amp;O237&amp;M234&amp;O239&amp;M234&amp;O240&amp;M234&amp;O241</f>
        <v>
</v>
      </c>
      <c r="P243" s="42"/>
      <c r="Q243" s="42"/>
      <c r="R243" s="42"/>
      <c r="S243" s="42"/>
      <c r="T243" s="42"/>
    </row>
    <row r="244" spans="3:15" ht="12.75">
      <c r="C244" s="2">
        <v>26.030822248761684</v>
      </c>
      <c r="D244" s="2">
        <v>26.50853452302104</v>
      </c>
      <c r="E244" s="2">
        <v>26.912646418922293</v>
      </c>
      <c r="F244" s="2">
        <v>27.05722678122877</v>
      </c>
      <c r="G244" s="2">
        <v>27.05722678122877</v>
      </c>
      <c r="H244" s="2">
        <v>27.05722678122877</v>
      </c>
      <c r="I244" s="2">
        <v>27.05722678122877</v>
      </c>
      <c r="J244" s="2">
        <v>27.05722678122877</v>
      </c>
      <c r="K244" s="2">
        <v>27.05722678122877</v>
      </c>
      <c r="L244" s="2">
        <v>27.05722678122877</v>
      </c>
      <c r="O244" s="41" t="str">
        <f>O233&amp;M234&amp;O234&amp;M234&amp;O235&amp;M234&amp;O236&amp;M234&amp;O237&amp;M234&amp;O239&amp;M234&amp;O240&amp;M234&amp;O241</f>
        <v>
</v>
      </c>
    </row>
    <row r="245" spans="1:15" ht="12.75">
      <c r="A245" t="s">
        <v>91</v>
      </c>
      <c r="B245">
        <f>MAX(B235:B242)</f>
        <v>0</v>
      </c>
      <c r="C245" s="2">
        <v>60.30051634702329</v>
      </c>
      <c r="D245" s="2">
        <v>61.25194245715046</v>
      </c>
      <c r="E245" s="2">
        <v>61.61295581315444</v>
      </c>
      <c r="F245" s="2">
        <v>62.24918786363553</v>
      </c>
      <c r="G245" s="2">
        <v>62.88541991411662</v>
      </c>
      <c r="H245" s="2">
        <v>63.52165196459772</v>
      </c>
      <c r="I245" s="2">
        <v>64.15788401507882</v>
      </c>
      <c r="J245" s="2">
        <v>64.79411606555992</v>
      </c>
      <c r="K245" s="2">
        <v>65.43034811604102</v>
      </c>
      <c r="L245" s="2">
        <v>66.06658016652212</v>
      </c>
      <c r="O245" s="43"/>
    </row>
    <row r="246" spans="1:12" ht="12.75">
      <c r="A246" t="s">
        <v>92</v>
      </c>
      <c r="B246">
        <f>MAX(B235:B243)</f>
        <v>0</v>
      </c>
      <c r="C246" s="2">
        <v>73.14096433405008</v>
      </c>
      <c r="D246" s="2">
        <v>73.43613537640404</v>
      </c>
      <c r="E246" s="2">
        <v>73.6778874900822</v>
      </c>
      <c r="F246" s="2">
        <v>74.22266939690743</v>
      </c>
      <c r="G246" s="2">
        <v>74.76745130373267</v>
      </c>
      <c r="H246" s="2">
        <v>75.3122332105579</v>
      </c>
      <c r="I246" s="2">
        <v>75.85701511738314</v>
      </c>
      <c r="J246" s="2">
        <v>76.40179702420838</v>
      </c>
      <c r="K246" s="2">
        <v>76.94657893103361</v>
      </c>
      <c r="L246" s="2">
        <v>77.49136083785883</v>
      </c>
    </row>
    <row r="247" spans="1:12" ht="12.75">
      <c r="A247">
        <f aca="true" t="shared" si="82" ref="A247:A252">LEN(A236)</f>
        <v>59</v>
      </c>
      <c r="C247" s="2">
        <v>14.671350554773195</v>
      </c>
      <c r="D247" s="2">
        <v>12.85269514707451</v>
      </c>
      <c r="E247" s="2">
        <v>11.0279836334573</v>
      </c>
      <c r="F247" s="2">
        <v>9.197109990860156</v>
      </c>
      <c r="G247" s="2">
        <v>7.524116829744161</v>
      </c>
      <c r="H247" s="2">
        <v>6.253342586109265</v>
      </c>
      <c r="I247" s="2">
        <v>5.333291803527116</v>
      </c>
      <c r="J247" s="2">
        <v>4.692532508278634</v>
      </c>
      <c r="K247" s="2">
        <v>4.227954808387874</v>
      </c>
      <c r="L247" s="2">
        <v>3.8784918822458976</v>
      </c>
    </row>
    <row r="248" spans="1:12" ht="12.75">
      <c r="A248">
        <f t="shared" si="82"/>
        <v>82</v>
      </c>
      <c r="C248" s="3">
        <v>226.87772318033475</v>
      </c>
      <c r="D248" s="3">
        <v>156.3804809001168</v>
      </c>
      <c r="E248" s="3">
        <v>135.77163504253707</v>
      </c>
      <c r="F248" s="3">
        <v>127.79042135028445</v>
      </c>
      <c r="G248" s="3">
        <v>123.1257308066512</v>
      </c>
      <c r="H248" s="3">
        <v>119.52286065338265</v>
      </c>
      <c r="I248" s="3">
        <v>116.41915394355333</v>
      </c>
      <c r="J248" s="3">
        <v>113.54928649837825</v>
      </c>
      <c r="K248" s="3">
        <v>110.77177774150591</v>
      </c>
      <c r="L248" s="3">
        <v>108.10926486908083</v>
      </c>
    </row>
    <row r="249" spans="1:12" ht="12.75">
      <c r="A249">
        <f t="shared" si="82"/>
        <v>0</v>
      </c>
      <c r="C249" s="6">
        <v>0.817285878454529</v>
      </c>
      <c r="D249" s="6">
        <v>0.5277491776515127</v>
      </c>
      <c r="E249" s="6">
        <v>0.4073970306250212</v>
      </c>
      <c r="F249" s="6">
        <v>0.364407056441432</v>
      </c>
      <c r="G249" s="6">
        <v>0.3566519018881572</v>
      </c>
      <c r="H249" s="6">
        <v>0.3566283464447222</v>
      </c>
      <c r="I249" s="6">
        <v>0.3566283464447222</v>
      </c>
      <c r="J249" s="6">
        <v>0.3566283464447222</v>
      </c>
      <c r="K249" s="6">
        <v>0.3566283464447222</v>
      </c>
      <c r="L249" s="6">
        <v>0.3566283464447222</v>
      </c>
    </row>
    <row r="250" ht="12.75">
      <c r="A250">
        <f t="shared" si="82"/>
        <v>78</v>
      </c>
    </row>
    <row r="251" ht="12.75">
      <c r="A251">
        <f t="shared" si="82"/>
        <v>59</v>
      </c>
    </row>
    <row r="252" ht="12.75">
      <c r="A252">
        <f t="shared" si="82"/>
        <v>69</v>
      </c>
    </row>
    <row r="256" spans="1:12" ht="12.75">
      <c r="A256" t="s">
        <v>93</v>
      </c>
      <c r="B256" t="s">
        <v>94</v>
      </c>
      <c r="C256" t="s">
        <v>72</v>
      </c>
      <c r="D256" t="s">
        <v>73</v>
      </c>
      <c r="E256" t="s">
        <v>74</v>
      </c>
      <c r="F256" t="s">
        <v>75</v>
      </c>
      <c r="G256" t="s">
        <v>76</v>
      </c>
      <c r="H256" t="s">
        <v>77</v>
      </c>
      <c r="I256" t="s">
        <v>78</v>
      </c>
      <c r="J256" t="s">
        <v>79</v>
      </c>
      <c r="K256" t="s">
        <v>80</v>
      </c>
      <c r="L256" t="s">
        <v>81</v>
      </c>
    </row>
    <row r="257" spans="1:12" ht="12.75">
      <c r="A257" t="s">
        <v>60</v>
      </c>
      <c r="B257" s="4">
        <v>1.2267968180457975</v>
      </c>
      <c r="C257" s="4">
        <f>IF(Сценарий!C2="",B257,Сценарий!C2)</f>
        <v>1.3086569482793404</v>
      </c>
      <c r="D257" s="4">
        <f>IF(Сценарий!D2="",C257,Сценарий!D2)</f>
        <v>1.3826061300154722</v>
      </c>
      <c r="E257" s="4">
        <f>IF(Сценарий!E2="",D257,Сценарий!E2)</f>
        <v>1.396</v>
      </c>
      <c r="F257" s="4">
        <f>IF(Сценарий!F2="",E257,Сценарий!F2)</f>
        <v>1.396</v>
      </c>
      <c r="G257" s="4">
        <f>IF(Сценарий!G2="",F257,Сценарий!G2)</f>
        <v>1.396</v>
      </c>
      <c r="H257" s="4">
        <f>IF(Сценарий!H2="",G257,Сценарий!H2)</f>
        <v>1.396</v>
      </c>
      <c r="I257" s="4">
        <f>IF(Сценарий!I2="",H257,Сценарий!I2)</f>
        <v>1.396</v>
      </c>
      <c r="J257" s="4">
        <f>IF(Сценарий!J2="",I257,Сценарий!J2)</f>
        <v>1.396</v>
      </c>
      <c r="K257" s="4">
        <f>IF(Сценарий!K2="",J257,Сценарий!K2)</f>
        <v>1.396</v>
      </c>
      <c r="L257" s="4">
        <f>IF(Сценарий!L2="",K257,Сценарий!L2)</f>
        <v>1.396</v>
      </c>
    </row>
    <row r="258" spans="1:12" ht="12.75">
      <c r="A258" t="s">
        <v>61</v>
      </c>
      <c r="B258" s="2">
        <v>25</v>
      </c>
      <c r="C258" s="2">
        <f>IF(Сценарий!C3="",B258,Сценарий!C3)</f>
        <v>26.030822248761684</v>
      </c>
      <c r="D258" s="2">
        <f>IF(Сценарий!D3="",C258,Сценарий!D3)</f>
        <v>26.50853452302104</v>
      </c>
      <c r="E258" s="2">
        <f>IF(Сценарий!E3="",D258,Сценарий!E3)</f>
        <v>26.912646418922293</v>
      </c>
      <c r="F258" s="2">
        <f>IF(Сценарий!F3="",E258,Сценарий!F3)</f>
        <v>27.05722678122877</v>
      </c>
      <c r="G258" s="2">
        <f>IF(Сценарий!G3="",F258,Сценарий!G3)</f>
        <v>27.05722678122877</v>
      </c>
      <c r="H258" s="2">
        <f>IF(Сценарий!H3="",G258,Сценарий!H3)</f>
        <v>27.05722678122877</v>
      </c>
      <c r="I258" s="2">
        <f>IF(Сценарий!I3="",H258,Сценарий!I3)</f>
        <v>27.05722678122877</v>
      </c>
      <c r="J258" s="2">
        <f>IF(Сценарий!J3="",I258,Сценарий!J3)</f>
        <v>27.05722678122877</v>
      </c>
      <c r="K258" s="2">
        <f>IF(Сценарий!K3="",J258,Сценарий!K3)</f>
        <v>27.05722678122877</v>
      </c>
      <c r="L258" s="2">
        <f>IF(Сценарий!L3="",K258,Сценарий!L3)</f>
        <v>27.05722678122877</v>
      </c>
    </row>
    <row r="259" spans="1:12" ht="12.75">
      <c r="A259" t="s">
        <v>62</v>
      </c>
      <c r="B259" s="2">
        <v>60.12126423002327</v>
      </c>
      <c r="C259" s="2">
        <f>IF(Сценарий!C4="",B259,Сценарий!C4)</f>
        <v>60.30051634702329</v>
      </c>
      <c r="D259" s="2">
        <f>IF(Сценарий!D4="",C259,Сценарий!D4)</f>
        <v>61.25194245715046</v>
      </c>
      <c r="E259" s="2">
        <f>IF(Сценарий!E4="",D259,Сценарий!E4)</f>
        <v>61.61295581315444</v>
      </c>
      <c r="F259" s="2">
        <f>IF(Сценарий!F4="",E259,Сценарий!F4)</f>
        <v>62.24918786363553</v>
      </c>
      <c r="G259" s="2">
        <f>IF(Сценарий!G4="",F259,Сценарий!G4)</f>
        <v>62.88541991411662</v>
      </c>
      <c r="H259" s="2">
        <f>IF(Сценарий!H4="",G259,Сценарий!H4)</f>
        <v>63.52165196459772</v>
      </c>
      <c r="I259" s="2">
        <f>IF(Сценарий!I4="",H259,Сценарий!I4)</f>
        <v>64.15788401507882</v>
      </c>
      <c r="J259" s="2">
        <f>IF(Сценарий!J4="",I259,Сценарий!J4)</f>
        <v>64.79411606555992</v>
      </c>
      <c r="K259" s="2">
        <f>IF(Сценарий!K4="",J259,Сценарий!K4)</f>
        <v>65.43034811604102</v>
      </c>
      <c r="L259" s="2">
        <f>IF(Сценарий!L4="",K259,Сценарий!L4)</f>
        <v>66.06658016652212</v>
      </c>
    </row>
    <row r="260" spans="1:12" ht="12.75">
      <c r="A260" t="s">
        <v>63</v>
      </c>
      <c r="B260" s="2">
        <v>72.6254078873076</v>
      </c>
      <c r="C260" s="2">
        <f>IF(Сценарий!C5="",B260,Сценарий!C5)</f>
        <v>73.14096433405008</v>
      </c>
      <c r="D260" s="2">
        <f>IF(Сценарий!D5="",C260,Сценарий!D5)</f>
        <v>73.43613537640404</v>
      </c>
      <c r="E260" s="2">
        <f>IF(Сценарий!E5="",D260,Сценарий!E5)</f>
        <v>73.6778874900822</v>
      </c>
      <c r="F260" s="2">
        <f>IF(Сценарий!F5="",E260,Сценарий!F5)</f>
        <v>74.22266939690743</v>
      </c>
      <c r="G260" s="2">
        <f>IF(Сценарий!G5="",F260,Сценарий!G5)</f>
        <v>74.76745130373267</v>
      </c>
      <c r="H260" s="2">
        <f>IF(Сценарий!H5="",G260,Сценарий!H5)</f>
        <v>75.3122332105579</v>
      </c>
      <c r="I260" s="2">
        <f>IF(Сценарий!I5="",H260,Сценарий!I5)</f>
        <v>75.85701511738314</v>
      </c>
      <c r="J260" s="2">
        <f>IF(Сценарий!J5="",I260,Сценарий!J5)</f>
        <v>76.40179702420838</v>
      </c>
      <c r="K260" s="2">
        <f>IF(Сценарий!K5="",J260,Сценарий!K5)</f>
        <v>76.94657893103361</v>
      </c>
      <c r="L260" s="2">
        <f>IF(Сценарий!L5="",K260,Сценарий!L5)</f>
        <v>77.49136083785883</v>
      </c>
    </row>
    <row r="261" spans="1:12" ht="12.75">
      <c r="A261" t="s">
        <v>64</v>
      </c>
      <c r="B261" s="2">
        <v>16.592818778610415</v>
      </c>
      <c r="C261" s="2">
        <f>IF(Сценарий!C6="",B261,Сценарий!C6)</f>
        <v>14.671350554773195</v>
      </c>
      <c r="D261" s="2">
        <f>IF(Сценарий!D6="",C261,Сценарий!D6)</f>
        <v>12.85269514707451</v>
      </c>
      <c r="E261" s="2">
        <f>IF(Сценарий!E6="",D261,Сценарий!E6)</f>
        <v>11.0279836334573</v>
      </c>
      <c r="F261" s="2">
        <f>IF(Сценарий!F6="",E261,Сценарий!F6)</f>
        <v>9.197109990860156</v>
      </c>
      <c r="G261" s="2">
        <f>IF(Сценарий!G6="",F261,Сценарий!G6)</f>
        <v>7.524116829744161</v>
      </c>
      <c r="H261" s="2">
        <f>IF(Сценарий!H6="",G261,Сценарий!H6)</f>
        <v>6.253342586109265</v>
      </c>
      <c r="I261" s="2">
        <f>IF(Сценарий!I6="",H261,Сценарий!I6)</f>
        <v>5.333291803527116</v>
      </c>
      <c r="J261" s="2">
        <f>IF(Сценарий!J6="",I261,Сценарий!J6)</f>
        <v>4.692532508278634</v>
      </c>
      <c r="K261" s="2">
        <f>IF(Сценарий!K6="",J261,Сценарий!K6)</f>
        <v>4.227954808387874</v>
      </c>
      <c r="L261" s="2">
        <f>IF(Сценарий!L6="",K261,Сценарий!L6)</f>
        <v>3.8784918822458976</v>
      </c>
    </row>
    <row r="262" spans="1:12" ht="12.75">
      <c r="A262" t="s">
        <v>95</v>
      </c>
      <c r="B262" s="2">
        <v>489.23040000000003</v>
      </c>
      <c r="C262" s="3">
        <f>IF(Сценарий!C7="",B262,Сценарий!C7)</f>
        <v>226.87772318033475</v>
      </c>
      <c r="D262" s="3">
        <f>IF(Сценарий!D7="",C262,Сценарий!D7)</f>
        <v>156.3804809001168</v>
      </c>
      <c r="E262" s="3">
        <f>IF(Сценарий!E7="",D262,Сценарий!E7)</f>
        <v>135.77163504253707</v>
      </c>
      <c r="F262" s="3">
        <f>IF(Сценарий!F7="",E262,Сценарий!F7)</f>
        <v>127.79042135028445</v>
      </c>
      <c r="G262" s="3">
        <f>IF(Сценарий!G7="",F262,Сценарий!G7)</f>
        <v>123.1257308066512</v>
      </c>
      <c r="H262" s="3">
        <f>IF(Сценарий!H7="",G262,Сценарий!H7)</f>
        <v>119.52286065338265</v>
      </c>
      <c r="I262" s="3">
        <f>IF(Сценарий!I7="",H262,Сценарий!I7)</f>
        <v>116.41915394355333</v>
      </c>
      <c r="J262" s="3">
        <f>IF(Сценарий!J7="",I262,Сценарий!J7)</f>
        <v>1113.54928649837</v>
      </c>
      <c r="K262" s="3">
        <f>IF(Сценарий!K7="",J262,Сценарий!K7)</f>
        <v>1110.7717777415</v>
      </c>
      <c r="L262" s="3">
        <f>IF(Сценарий!L7="",K262,Сценарий!L7)</f>
        <v>108.10926486908083</v>
      </c>
    </row>
    <row r="263" spans="1:12" ht="12.75">
      <c r="A263" t="s">
        <v>96</v>
      </c>
      <c r="B263" s="6">
        <v>1.4987171392666727</v>
      </c>
      <c r="C263" s="6">
        <f>IF(Сценарий!C8="",B263,Сценарий!C8)</f>
        <v>0.817285878454529</v>
      </c>
      <c r="D263" s="6">
        <f>IF(Сценарий!D8="",C263,Сценарий!D8)</f>
        <v>0.5277491776515127</v>
      </c>
      <c r="E263" s="6">
        <f>IF(Сценарий!E8="",D263,Сценарий!E8)</f>
        <v>0.4073970306250212</v>
      </c>
      <c r="F263" s="6">
        <f>IF(Сценарий!F8="",E263,Сценарий!F8)</f>
        <v>0.364407056441432</v>
      </c>
      <c r="G263" s="6">
        <f>IF(Сценарий!G8="",F263,Сценарий!G8)</f>
        <v>0.3566519018881572</v>
      </c>
      <c r="H263" s="6">
        <f>IF(Сценарий!H8="",G263,Сценарий!H8)</f>
        <v>0.3566283464447222</v>
      </c>
      <c r="I263" s="6">
        <f>IF(Сценарий!I8="",H263,Сценарий!I8)</f>
        <v>0.3566283464447222</v>
      </c>
      <c r="J263" s="6">
        <f>IF(Сценарий!J8="",I263,Сценарий!J8)</f>
        <v>0.3566283464447222</v>
      </c>
      <c r="K263" s="6">
        <f>IF(Сценарий!K8="",J263,Сценарий!K8)</f>
        <v>0.3566283464447222</v>
      </c>
      <c r="L263" s="6">
        <f>IF(Сценарий!L8="",K263,Сценарий!L8)</f>
        <v>0.3566283464447222</v>
      </c>
    </row>
    <row r="265" spans="1:12" ht="12.75">
      <c r="A265" t="s">
        <v>60</v>
      </c>
      <c r="C265" s="44">
        <f>IF(Сценарий!C2="",1,0)</f>
        <v>0</v>
      </c>
      <c r="D265" s="44">
        <f>IF(Сценарий!D2="",1,0)</f>
        <v>0</v>
      </c>
      <c r="E265" s="44">
        <f>IF(Сценарий!E2="",1,0)</f>
        <v>0</v>
      </c>
      <c r="F265" s="44">
        <f>IF(Сценарий!F2="",1,0)</f>
        <v>0</v>
      </c>
      <c r="G265" s="44">
        <f>IF(Сценарий!G2="",1,0)</f>
        <v>0</v>
      </c>
      <c r="H265" s="44">
        <f>IF(Сценарий!H2="",1,0)</f>
        <v>0</v>
      </c>
      <c r="I265" s="44">
        <f>IF(Сценарий!I2="",1,0)</f>
        <v>0</v>
      </c>
      <c r="J265" s="44">
        <f>IF(Сценарий!J2="",1,0)</f>
        <v>0</v>
      </c>
      <c r="K265" s="44">
        <f>IF(Сценарий!K2="",1,0)</f>
        <v>0</v>
      </c>
      <c r="L265" s="44">
        <f>IF(Сценарий!L2="",1,0)</f>
        <v>0</v>
      </c>
    </row>
    <row r="266" spans="1:12" ht="12.75">
      <c r="A266" t="s">
        <v>61</v>
      </c>
      <c r="C266" s="44">
        <f>IF(Сценарий!C3="",1,0)</f>
        <v>0</v>
      </c>
      <c r="D266" s="44">
        <f>IF(Сценарий!D3="",1,0)</f>
        <v>0</v>
      </c>
      <c r="E266" s="44">
        <f>IF(Сценарий!E3="",1,0)</f>
        <v>0</v>
      </c>
      <c r="F266" s="44">
        <f>IF(Сценарий!F3="",1,0)</f>
        <v>0</v>
      </c>
      <c r="G266" s="44">
        <f>IF(Сценарий!G3="",1,0)</f>
        <v>0</v>
      </c>
      <c r="H266" s="44">
        <f>IF(Сценарий!H3="",1,0)</f>
        <v>0</v>
      </c>
      <c r="I266" s="44">
        <f>IF(Сценарий!I3="",1,0)</f>
        <v>0</v>
      </c>
      <c r="J266" s="44">
        <f>IF(Сценарий!J3="",1,0)</f>
        <v>0</v>
      </c>
      <c r="K266" s="44">
        <f>IF(Сценарий!K3="",1,0)</f>
        <v>0</v>
      </c>
      <c r="L266" s="44">
        <f>IF(Сценарий!L3="",1,0)</f>
        <v>0</v>
      </c>
    </row>
    <row r="267" spans="1:12" ht="12.75">
      <c r="A267" t="s">
        <v>62</v>
      </c>
      <c r="C267" s="44">
        <f>IF(Сценарий!C4="",1,0)</f>
        <v>0</v>
      </c>
      <c r="D267" s="44">
        <f>IF(Сценарий!D4="",1,0)</f>
        <v>0</v>
      </c>
      <c r="E267" s="44">
        <f>IF(Сценарий!E4="",1,0)</f>
        <v>0</v>
      </c>
      <c r="F267" s="44">
        <f>IF(Сценарий!F4="",1,0)</f>
        <v>0</v>
      </c>
      <c r="G267" s="44">
        <f>IF(Сценарий!G4="",1,0)</f>
        <v>0</v>
      </c>
      <c r="H267" s="44">
        <f>IF(Сценарий!H4="",1,0)</f>
        <v>0</v>
      </c>
      <c r="I267" s="44">
        <f>IF(Сценарий!I4="",1,0)</f>
        <v>0</v>
      </c>
      <c r="J267" s="44">
        <f>IF(Сценарий!J4="",1,0)</f>
        <v>0</v>
      </c>
      <c r="K267" s="44">
        <f>IF(Сценарий!K4="",1,0)</f>
        <v>0</v>
      </c>
      <c r="L267" s="44">
        <f>IF(Сценарий!L4="",1,0)</f>
        <v>0</v>
      </c>
    </row>
    <row r="268" spans="1:12" ht="12.75">
      <c r="A268" t="s">
        <v>63</v>
      </c>
      <c r="C268" s="44">
        <f>IF(Сценарий!C5="",1,0)</f>
        <v>0</v>
      </c>
      <c r="D268" s="44">
        <f>IF(Сценарий!D5="",1,0)</f>
        <v>0</v>
      </c>
      <c r="E268" s="44">
        <f>IF(Сценарий!E5="",1,0)</f>
        <v>0</v>
      </c>
      <c r="F268" s="44">
        <f>IF(Сценарий!F5="",1,0)</f>
        <v>0</v>
      </c>
      <c r="G268" s="44">
        <f>IF(Сценарий!G5="",1,0)</f>
        <v>0</v>
      </c>
      <c r="H268" s="44">
        <f>IF(Сценарий!H5="",1,0)</f>
        <v>0</v>
      </c>
      <c r="I268" s="44">
        <f>IF(Сценарий!I5="",1,0)</f>
        <v>0</v>
      </c>
      <c r="J268" s="44">
        <f>IF(Сценарий!J5="",1,0)</f>
        <v>0</v>
      </c>
      <c r="K268" s="44">
        <f>IF(Сценарий!K5="",1,0)</f>
        <v>0</v>
      </c>
      <c r="L268" s="44">
        <f>IF(Сценарий!L5="",1,0)</f>
        <v>0</v>
      </c>
    </row>
    <row r="269" spans="1:12" ht="12.75">
      <c r="A269" t="s">
        <v>64</v>
      </c>
      <c r="C269" s="44">
        <f>IF(Сценарий!C6="",1,0)</f>
        <v>0</v>
      </c>
      <c r="D269" s="44">
        <f>IF(Сценарий!D6="",1,0)</f>
        <v>0</v>
      </c>
      <c r="E269" s="44">
        <f>IF(Сценарий!E6="",1,0)</f>
        <v>0</v>
      </c>
      <c r="F269" s="44">
        <f>IF(Сценарий!F6="",1,0)</f>
        <v>0</v>
      </c>
      <c r="G269" s="44">
        <f>IF(Сценарий!G6="",1,0)</f>
        <v>0</v>
      </c>
      <c r="H269" s="44">
        <f>IF(Сценарий!H6="",1,0)</f>
        <v>0</v>
      </c>
      <c r="I269" s="44">
        <f>IF(Сценарий!I6="",1,0)</f>
        <v>0</v>
      </c>
      <c r="J269" s="44">
        <f>IF(Сценарий!J6="",1,0)</f>
        <v>0</v>
      </c>
      <c r="K269" s="44">
        <f>IF(Сценарий!K6="",1,0)</f>
        <v>0</v>
      </c>
      <c r="L269" s="44">
        <f>IF(Сценарий!L6="",1,0)</f>
        <v>0</v>
      </c>
    </row>
    <row r="270" spans="1:12" ht="12.75">
      <c r="A270" t="s">
        <v>95</v>
      </c>
      <c r="C270" s="44">
        <f>IF(Сценарий!C7="",1,0)</f>
        <v>0</v>
      </c>
      <c r="D270" s="44">
        <f>IF(Сценарий!D7="",1,0)</f>
        <v>0</v>
      </c>
      <c r="E270" s="44">
        <f>IF(Сценарий!E7="",1,0)</f>
        <v>0</v>
      </c>
      <c r="F270" s="44">
        <f>IF(Сценарий!F7="",1,0)</f>
        <v>0</v>
      </c>
      <c r="G270" s="44">
        <f>IF(Сценарий!G7="",1,0)</f>
        <v>0</v>
      </c>
      <c r="H270" s="44">
        <f>IF(Сценарий!H7="",1,0)</f>
        <v>0</v>
      </c>
      <c r="I270" s="44">
        <f>IF(Сценарий!I7="",1,0)</f>
        <v>0</v>
      </c>
      <c r="J270" s="44">
        <f>IF(Сценарий!J7="",1,0)</f>
        <v>0</v>
      </c>
      <c r="K270" s="44">
        <f>IF(Сценарий!K7="",1,0)</f>
        <v>0</v>
      </c>
      <c r="L270" s="44">
        <f>IF(Сценарий!L7="",1,0)</f>
        <v>0</v>
      </c>
    </row>
    <row r="271" spans="1:12" ht="12.75">
      <c r="A271" t="s">
        <v>96</v>
      </c>
      <c r="C271" s="44">
        <f>IF(Сценарий!C8="",1,0)</f>
        <v>0</v>
      </c>
      <c r="D271" s="44">
        <f>IF(Сценарий!D8="",1,0)</f>
        <v>0</v>
      </c>
      <c r="E271" s="44">
        <f>IF(Сценарий!E8="",1,0)</f>
        <v>0</v>
      </c>
      <c r="F271" s="44">
        <f>IF(Сценарий!F8="",1,0)</f>
        <v>0</v>
      </c>
      <c r="G271" s="44">
        <f>IF(Сценарий!G8="",1,0)</f>
        <v>0</v>
      </c>
      <c r="H271" s="44">
        <f>IF(Сценарий!H8="",1,0)</f>
        <v>0</v>
      </c>
      <c r="I271" s="44">
        <f>IF(Сценарий!I8="",1,0)</f>
        <v>0</v>
      </c>
      <c r="J271" s="44">
        <f>IF(Сценарий!J8="",1,0)</f>
        <v>0</v>
      </c>
      <c r="K271" s="44">
        <f>IF(Сценарий!K8="",1,0)</f>
        <v>0</v>
      </c>
      <c r="L271" s="44">
        <f>IF(Сценарий!L8="",1,0)</f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Андреев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Андреев</dc:creator>
  <cp:keywords/>
  <dc:description/>
  <cp:lastModifiedBy>й</cp:lastModifiedBy>
  <dcterms:created xsi:type="dcterms:W3CDTF">2001-07-10T05:26:58Z</dcterms:created>
  <dcterms:modified xsi:type="dcterms:W3CDTF">2007-03-25T14:47:41Z</dcterms:modified>
  <cp:category/>
  <cp:version/>
  <cp:contentType/>
  <cp:contentStatus/>
</cp:coreProperties>
</file>